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drawings/drawing9.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Models\SATIMGE_Veda\SuppXLS\"/>
    </mc:Choice>
  </mc:AlternateContent>
  <xr:revisionPtr revIDLastSave="0" documentId="13_ncr:1_{568CE76F-F4D2-441D-A387-335CDAA32146}" xr6:coauthVersionLast="47" xr6:coauthVersionMax="47" xr10:uidLastSave="{00000000-0000-0000-0000-000000000000}"/>
  <bookViews>
    <workbookView xWindow="-120" yWindow="-120" windowWidth="29040" windowHeight="15840" firstSheet="3" activeTab="8" xr2:uid="{A8FED7C6-325A-4931-B9A2-C9E76F5F1F1B}"/>
  </bookViews>
  <sheets>
    <sheet name="EIA" sheetId="23" r:id="rId1"/>
    <sheet name="TnD" sheetId="25" r:id="rId2"/>
    <sheet name="SAREM_Wind" sheetId="20" r:id="rId3"/>
    <sheet name="SAREM_PV" sheetId="21" r:id="rId4"/>
    <sheet name="NREL" sheetId="18" r:id="rId5"/>
    <sheet name="Nuclear" sheetId="22" r:id="rId6"/>
    <sheet name="CGEActivityInputs" sheetId="19" r:id="rId7"/>
    <sheet name="IEA ETP23 materials" sheetId="24" r:id="rId8"/>
    <sheet name="MaterialInputs" sheetId="17" r:id="rId9"/>
    <sheet name="SAM" sheetId="14" r:id="rId10"/>
    <sheet name="From SAM" sheetId="15" r:id="rId11"/>
    <sheet name="ElecBY" sheetId="16" r:id="rId12"/>
    <sheet name="LabourInputs" sheetId="13"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I">#REF!</definedName>
    <definedName name="\P">#REF!</definedName>
    <definedName name="__FDS_HYPERLINK_TOGGLE_STATE__" hidden="1">"ON"</definedName>
    <definedName name="_AMO_ContentDefinition_104386094" hidden="1">"'Partitions:9'"</definedName>
    <definedName name="_AMO_ContentDefinition_104386094.0" hidden="1">"'&lt;ContentDefinition name=""Summary Tables"" rsid=""104386094"" type=""Task"" format=""ReportXml"" imgfmt=""ActiveX"" created=""10/17/2013 08:49:12"" modifed=""02/28/2014 13:17:15"" user=""ndivhuwog"" apply=""False"" css=""C:\Program Files\SASHome\SASAd'"</definedName>
    <definedName name="_AMO_ContentDefinition_104386094.1" hidden="1">"'dinforMicrosoftOffice\5.1\Styles\AMODefault.css"" range=""Summary_Tables_51"" auto=""False"" xTime=""00:00:00.3870000"" rTime=""00:00:00.6690000"" bgnew=""False"" nFmt=""False"" grphSet=""False"" imgY=""0"" imgX=""0""&gt;_x000D_
  &lt;files&gt;C:\Users\ndivhuwog\Doc'"</definedName>
    <definedName name="_AMO_ContentDefinition_104386094.2" hidden="1">"'uments\My SAS Files\Add-In for Microsoft Office\_SOA_Summary_Tables_142718989\main.srx&lt;/files&gt;_x000D_
  &lt;parents /&gt;_x000D_
  &lt;children /&gt;_x000D_
  &lt;param n=""TaskID"" v=""D3932E3A-4FEE-43DF-956C-A605AC9AF3E7"" /&gt;_x000D_
  &lt;param n=""DisplayName"" v=""Summary Tables"" /&gt;_x000D_
  &lt;'"</definedName>
    <definedName name="_AMO_ContentDefinition_104386094.3" hidden="1">"'param n=""DisplayType"" v=""Task"" /&gt;_x000D_
  &lt;param n=""RawValues"" v=""True"" /&gt;_x000D_
  &lt;param n=""AMO_Version"" v=""5.1"" /&gt;_x000D_
  &lt;param n=""ServerName"" v=""SASApp"" /&gt;_x000D_
  &lt;param n=""AMO_Template"" v="""" /&gt;_x000D_
  &lt;param n=""UseDataConstraints"" v=""False"" /&gt;'"</definedName>
    <definedName name="_AMO_ContentDefinition_10438609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04386094.5" hidden="1">"'&amp;amp;quot;1.0&amp;amp;quot; encoding=&amp;amp;quot;utf-16&amp;amp;quot;?&amp;amp;gt;&amp;amp;lt;FilterTree&amp;amp;gt;&amp;amp;lt;TreeRoot /&amp;amp;gt;&amp;amp;lt;/FilterTree&amp;amp;gt;&amp;quot; ColSelFlg=&amp;quot;0&amp;quot; Name=&amp;quot;TABLE2_5&amp;quot; /&amp;gt;"" /&gt;_x000D_
  &lt;param n=""CredKey"" v=""TABLE2_5'"</definedName>
    <definedName name="_AMO_ContentDefinition_10438609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04386094.7" hidden="1">"'ication_"" v=""ODS"" /&gt;_x000D_
  &lt;param n=""_ROM_AppVersion_"" v=""9.2"" /&gt;_x000D_
  &lt;param n=""maxReportCols"" v=""13"" /&gt;_x000D_
  &lt;fids n=""main.srx"" v=""0"" /&gt;_x000D_
  &lt;ExcelXMLOptions AdjColWidths=""True"" RowOpt=""InsertEntire"" ColOpt=""InsertCells"" /&gt;_x000D_'"</definedName>
    <definedName name="_AMO_ContentDefinition_104386094.8" hidden="1">"'
&lt;/ContentDefinition&gt;'"</definedName>
    <definedName name="_AMO_ContentDefinition_112461039" hidden="1">"'Partitions:9'"</definedName>
    <definedName name="_AMO_ContentDefinition_112461039.0" hidden="1">"'&lt;ContentDefinition name=""Summary Tables"" rsid=""112461039"" type=""Task"" format=""ReportXml"" imgfmt=""ActiveX"" created=""02/14/2014 14:59:53"" modifed=""02/28/2014 13:11:57"" user=""ndivhuwog"" apply=""False"" css=""C:\Program Files\SASHome\SASAd'"</definedName>
    <definedName name="_AMO_ContentDefinition_112461039.1" hidden="1">"'dinforMicrosoftOffice\5.1\Styles\AMODefault.css"" range=""Summary_Tables_58"" auto=""False"" xTime=""00:00:00.4430000"" rTime=""00:00:00.6030000"" bgnew=""False"" nFmt=""False"" grphSet=""False"" imgY=""0"" imgX=""0""&gt;_x000D_
  &lt;files&gt;C:\Users\ndivhuwog\Doc'"</definedName>
    <definedName name="_AMO_ContentDefinition_112461039.2" hidden="1">"'uments\My SAS Files\Add-In for Microsoft Office\_SOA_Summary_Tables_224128394\main.srx&lt;/files&gt;_x000D_
  &lt;parents /&gt;_x000D_
  &lt;children /&gt;_x000D_
  &lt;param n=""TaskID"" v=""D3932E3A-4FEE-43DF-956C-A605AC9AF3E7"" /&gt;_x000D_
  &lt;param n=""DisplayName"" v=""Summary Tables"" /&gt;_x000D_
  &lt;'"</definedName>
    <definedName name="_AMO_ContentDefinition_112461039.3" hidden="1">"'param n=""DisplayType"" v=""Task"" /&gt;_x000D_
  &lt;param n=""RawValues"" v=""True"" /&gt;_x000D_
  &lt;param n=""AMO_Version"" v=""5.1"" /&gt;_x000D_
  &lt;param n=""ServerName"" v=""SASApp"" /&gt;_x000D_
  &lt;param n=""AMO_Template"" v="""" /&gt;_x000D_
  &lt;param n=""UseDataConstraints"" v=""False"" /&gt;'"</definedName>
    <definedName name="_AMO_ContentDefinition_11246103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12461039.5" hidden="1">"'&amp;amp;quot;1.0&amp;amp;quot; encoding=&amp;amp;quot;utf-16&amp;amp;quot;?&amp;amp;gt;&amp;amp;lt;FilterTree&amp;amp;gt;&amp;amp;lt;TreeRoot /&amp;amp;gt;&amp;amp;lt;/FilterTree&amp;amp;gt;&amp;quot; ColSelFlg=&amp;quot;0&amp;quot; Name=&amp;quot;TABLE2_1&amp;quot; /&amp;gt;"" /&gt;_x000D_
  &lt;param n=""CredKey"" v=""TABLE2_1'"</definedName>
    <definedName name="_AMO_ContentDefinition_112461039.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12461039.7" hidden="1">"'ication_"" v=""ODS"" /&gt;_x000D_
  &lt;param n=""_ROM_AppVersion_"" v=""9.2"" /&gt;_x000D_
  &lt;param n=""maxReportCols"" v=""13"" /&gt;_x000D_
  &lt;fids n=""main.srx"" v=""0"" /&gt;_x000D_
  &lt;ExcelXMLOptions AdjColWidths=""True"" RowOpt=""InsertEntire"" ColOpt=""InsertCells"" /&gt;_x000D_'"</definedName>
    <definedName name="_AMO_ContentDefinition_112461039.8" hidden="1">"'
&lt;/ContentDefinition&gt;'"</definedName>
    <definedName name="_AMO_ContentDefinition_15410102" hidden="1">"'Partitions:9'"</definedName>
    <definedName name="_AMO_ContentDefinition_15410102.0" hidden="1">"'&lt;ContentDefinition name=""Summary Tables"" rsid=""15410102"" type=""Task"" format=""ReportXml"" imgfmt=""ACTXIMG"" created=""04/30/2009 09:29:34"" modifed=""01/24/2014 16:09:26"" user=""ndivhuwog"" apply=""False"" css=""C:\Documents and Settings\ndivh'"</definedName>
    <definedName name="_AMO_ContentDefinition_15410102.1" hidden="1">"'uwog.000\Application Data\SAS\BI Clients\Styles\Copy  of cpi (Ndivhu).css"" range=""Summary_Tables_23"" auto=""False"" xTime=""00:00:00.4200000"" rTime=""00:00:00.4890000"" bgnew=""False"" nFmt=""False"" grphSet=""False"" imgY=""0"" imgX=""0""&gt;_x000D_
  &lt;fi'"</definedName>
    <definedName name="_AMO_ContentDefinition_15410102.2" hidden="1">"'les&gt;C:\Users\ndivhuwog\Documents\My SAS Files\Add-In for Microsoft Office\_SOA_Summary_Tables_415479318\main.srx&lt;/files&gt;_x000D_
  &lt;parents /&gt;_x000D_
  &lt;children /&gt;_x000D_
  &lt;param n=""TaskID"" v=""D3932E3A-4FEE-43DF-956C-A605AC9AF3E7"" /&gt;_x000D_
  &lt;param n=""DisplayName"" v'"</definedName>
    <definedName name="_AMO_ContentDefinition_154101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154101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15410102.5" hidden="1">"'S=&amp;quot;&amp;amp;lt;?xml version=&amp;amp;quot;1.0&amp;amp;quot; encoding=&amp;amp;quot;utf-16&amp;amp;quot;?&amp;amp;gt;&amp;amp;lt;FilterTree&amp;amp;gt;&amp;amp;lt;TreeRoot /&amp;amp;gt;&amp;amp;lt;/FilterTree&amp;amp;gt;&amp;quot; UseLbls=&amp;quot;true&amp;quot; ColSelFlg=&amp;quot;0&amp;quot; Name=&amp;quot;TABLE7A&amp;'"</definedName>
    <definedName name="_AMO_ContentDefinition_15410102.6" hidden="1">"'quot; /&amp;gt;"" /&gt;_x000D_
  &lt;param n=""CredKey"" v=""TABLE7A&amp;#x1;SASApp&amp;#x1;LFSR Tabulation Datasets"" /&gt;_x000D_
  &lt;param n=""ClassName"" v=""SAS.OfficeAddin.Task"" /&gt;_x000D_
  &lt;param n=""XlNative"" v=""False"" /&gt;_x000D_
  &lt;param n=""UnselectedIds"" v="""" /&gt;_x000D_
  &lt;param n=""_'"</definedName>
    <definedName name="_AMO_ContentDefinition_15410102.7" hidden="1">"'ROM_Version_"" v=""1.2"" /&gt;_x000D_
  &lt;param n=""_ROM_Application_"" v=""ODS"" /&gt;_x000D_
  &lt;param n=""_ROM_AppVersion_"" v=""9.2"" /&gt;_x000D_
  &lt;param n=""maxReportCols"" v=""10"" /&gt;_x000D_
  &lt;fids n=""main.srx"" v=""0"" /&gt;_x000D_
  &lt;ExcelXMLOptions AdjColWidths=""True"" RowOpt=""'"</definedName>
    <definedName name="_AMO_ContentDefinition_15410102.8" hidden="1">"'InsertEntire"" ColOpt=""InsertCells"" /&gt;_x000D_
&lt;/ContentDefinition&gt;'"</definedName>
    <definedName name="_AMO_ContentDefinition_205779628" hidden="1">"'Partitions:9'"</definedName>
    <definedName name="_AMO_ContentDefinition_205779628.0" hidden="1">"'&lt;ContentDefinition name=""Summary Tables"" rsid=""205779628"" type=""Task"" format=""ReportXml"" imgfmt=""ACTIVEX"" created=""04/19/2012 11:07:06"" modifed=""02/28/2014 13:42:20"" user=""ndivhuwog"" apply=""False"" css=""C:\Program Files\SAS\Shared Fi'"</definedName>
    <definedName name="_AMO_ContentDefinition_205779628.1" hidden="1">"'les\BIClientStyles\AMODefault.css"" range=""Summary_Tables_43"" auto=""False"" xTime=""00:00:00.4330000"" rTime=""00:00:00.8980000"" bgnew=""False"" nFmt=""False"" grphSet=""False"" imgY=""0"" imgX=""0""&gt;_x000D_
  &lt;files&gt;C:\Users\ndivhuwog\Documents\My SAS '"</definedName>
    <definedName name="_AMO_ContentDefinition_205779628.2" hidden="1">"'Files\Add-In for Microsoft Office\_SOA_Summary_Tables_137374932\main.srx&lt;/files&gt;_x000D_
  &lt;parents /&gt;_x000D_
  &lt;children /&gt;_x000D_
  &lt;param n=""TaskID"" v=""D3932E3A-4FEE-43DF-956C-A605AC9AF3E7"" /&gt;_x000D_
  &lt;param n=""DisplayName"" v=""Summary Tables"" /&gt;_x000D_
  &lt;param n=""Dis'"</definedName>
    <definedName name="_AMO_ContentDefinition_205779628.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05779628.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05779628.5" hidden="1">"'0&amp;amp;quot; encoding=&amp;amp;quot;utf-16&amp;amp;quot;?&amp;amp;gt;&amp;amp;lt;FilterTree&amp;amp;gt;&amp;amp;lt;TreeRoot /&amp;amp;gt;&amp;amp;lt;/FilterTree&amp;amp;gt;&amp;quot; UseLbls=&amp;quot;true&amp;quot; ColSelFlg=&amp;quot;0&amp;quot; Name=&amp;quot;TABLE3_8B&amp;quot; /&amp;gt;"" /&gt;_x000D_
  &lt;param n=""CredKey'"</definedName>
    <definedName name="_AMO_ContentDefinition_205779628.6" hidden="1">"'"" v=""TABLE3_8B&amp;#x1;SASApp&amp;#x1;LFSR Tabulation Datasets"" /&gt;_x000D_
  &lt;param n=""ClassName"" v=""SAS.OfficeAddin.Task"" /&gt;_x000D_
  &lt;param n=""XlNative"" v=""False"" /&gt;_x000D_
  &lt;param n=""UnselectedIds"" v="""" /&gt;_x000D_
  &lt;param n=""_ROM_Version_"" v=""1.2"" /&gt;_x000D_
  &lt;param'"</definedName>
    <definedName name="_AMO_ContentDefinition_205779628.7" hidden="1">"' n=""_ROM_Application_"" v=""ODS"" /&gt;_x000D_
  &lt;param n=""_ROM_AppVersion_"" v=""9.2"" /&gt;_x000D_
  &lt;param n=""maxReportCols"" v=""14"" /&gt;_x000D_
  &lt;fids n=""main.srx"" v=""0"" /&gt;_x000D_
  &lt;ExcelXMLOptions AdjColWidths=""True"" RowOpt=""InsertEntire"" ColOpt=""InsertCells"" /'"</definedName>
    <definedName name="_AMO_ContentDefinition_205779628.8" hidden="1">"'&gt;_x000D_
&lt;/ContentDefinition&gt;'"</definedName>
    <definedName name="_AMO_ContentDefinition_222545728" hidden="1">"'Partitions:9'"</definedName>
    <definedName name="_AMO_ContentDefinition_222545728.0" hidden="1">"'&lt;ContentDefinition name=""Summary Tables"" rsid=""222545728"" type=""Task"" format=""ReportXml"" imgfmt=""ActiveX"" created=""02/14/2014 15:20:38"" modifed=""02/28/2014 13:12:35"" user=""ndivhuwog"" apply=""False"" css=""C:\Program Files\SASHome\SASAd'"</definedName>
    <definedName name="_AMO_ContentDefinition_222545728.1" hidden="1">"'dinforMicrosoftOffice\5.1\Styles\AMODefault.css"" range=""Summary_Tables_60"" auto=""False"" xTime=""00:00:00.4180000"" rTime=""00:00:00.6970000"" bgnew=""False"" nFmt=""False"" grphSet=""False"" imgY=""0"" imgX=""0""&gt;_x000D_
  &lt;files&gt;C:\Users\ndivhuwog\Doc'"</definedName>
    <definedName name="_AMO_ContentDefinition_222545728.2" hidden="1">"'uments\My SAS Files\Add-In for Microsoft Office\_SOA_Summary_Tables_887691185\main.srx&lt;/files&gt;_x000D_
  &lt;parents /&gt;_x000D_
  &lt;children /&gt;_x000D_
  &lt;param n=""TaskID"" v=""D3932E3A-4FEE-43DF-956C-A605AC9AF3E7"" /&gt;_x000D_
  &lt;param n=""DisplayName"" v=""Summary Tables"" /&gt;_x000D_
  &lt;'"</definedName>
    <definedName name="_AMO_ContentDefinition_222545728.3" hidden="1">"'param n=""DisplayType"" v=""Task"" /&gt;_x000D_
  &lt;param n=""RawValues"" v=""True"" /&gt;_x000D_
  &lt;param n=""AMO_Version"" v=""5.1"" /&gt;_x000D_
  &lt;param n=""ServerName"" v=""SASApp"" /&gt;_x000D_
  &lt;param n=""AMO_Template"" v="""" /&gt;_x000D_
  &lt;param n=""UseDataConstraints"" v=""False"" /&gt;'"</definedName>
    <definedName name="_AMO_ContentDefinition_22254572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22545728.5" hidden="1">"'&amp;amp;quot;1.0&amp;amp;quot; encoding=&amp;amp;quot;utf-16&amp;amp;quot;?&amp;amp;gt;&amp;amp;lt;FilterTree&amp;amp;gt;&amp;amp;lt;TreeRoot /&amp;amp;gt;&amp;amp;lt;/FilterTree&amp;amp;gt;&amp;quot; ColSelFlg=&amp;quot;0&amp;quot; Name=&amp;quot;TABLE2_3B&amp;quot; /&amp;gt;"" /&gt;_x000D_
  &lt;param n=""CredKey"" v=""TABLE2_'"</definedName>
    <definedName name="_AMO_ContentDefinition_222545728.6" hidden="1">"'3B&amp;#x1;SASApp&amp;#x1;LFSR Tabulation Datasets"" /&gt;_x000D_
  &lt;param n=""ClassName"" v=""SAS.OfficeAddin.Task"" /&gt;_x000D_
  &lt;param n=""XlNative"" v=""False"" /&gt;_x000D_
  &lt;param n=""UnselectedIds"" v="""" /&gt;_x000D_
  &lt;param n=""_ROM_Version_"" v=""1.2"" /&gt;_x000D_
  &lt;param n=""_ROM_Ap'"</definedName>
    <definedName name="_AMO_ContentDefinition_222545728.7" hidden="1">"'plication_"" v=""ODS"" /&gt;_x000D_
  &lt;param n=""_ROM_AppVersion_"" v=""9.2"" /&gt;_x000D_
  &lt;param n=""maxReportCols"" v=""13"" /&gt;_x000D_
  &lt;fids n=""main.srx"" v=""0"" /&gt;_x000D_
  &lt;ExcelXMLOptions AdjColWidths=""True"" RowOpt=""InsertEntire"" ColOpt=""InsertCells"" /&gt;_x000D_'"</definedName>
    <definedName name="_AMO_ContentDefinition_222545728.8" hidden="1">"'
&lt;/ContentDefinition&gt;'"</definedName>
    <definedName name="_AMO_ContentDefinition_225272241" hidden="1">"'Partitions:9'"</definedName>
    <definedName name="_AMO_ContentDefinition_225272241.0" hidden="1">"'&lt;ContentDefinition name=""Summary Tables"" rsid=""225272241"" type=""Task"" format=""ReportXml"" imgfmt=""ACTXIMG"" created=""04/29/2009 15:30:49"" modifed=""02/28/2014 13:38:21"" user=""ndivhuwog"" apply=""False"" css=""C:\Documents and Settings\ndiv'"</definedName>
    <definedName name="_AMO_ContentDefinition_225272241.1" hidden="1">"'huwog.000\Application Data\SAS\BI Clients\Styles\Copy  of cpi (Ndivhu).css"" range=""Summary_Tables_13"" auto=""False"" xTime=""00:00:00.4090000"" rTime=""00:00:00.5530000"" bgnew=""False"" nFmt=""False"" grphSet=""False"" imgY=""0"" imgX=""0""&gt;_x000D_
  &lt;f'"</definedName>
    <definedName name="_AMO_ContentDefinition_225272241.2" hidden="1">"'iles&gt;C:\Users\ndivhuwog\Documents\My SAS Files\Add-In for Microsoft Office\_SOA_Summary_Tables_974195893\main.srx&lt;/files&gt;_x000D_
  &lt;parents /&gt;_x000D_
  &lt;children /&gt;_x000D_
  &lt;param n=""TaskID"" v=""D3932E3A-4FEE-43DF-956C-A605AC9AF3E7"" /&gt;_x000D_
  &lt;param n=""DisplayName"" '"</definedName>
    <definedName name="_AMO_ContentDefinition_225272241.3" hidden="1">"'v=""Summary Tables"" /&gt;_x000D_
  &lt;param n=""DisplayType"" v=""Task"" /&gt;_x000D_
  &lt;param n=""RawValues"" v=""True"" /&gt;_x000D_
  &lt;param n=""AMO_Version"" v=""5.1"" /&gt;_x000D_
  &lt;param n=""ServerName"" v=""SASApp"" /&gt;_x000D_
  &lt;param n=""AMO_Template"" v="""" /&gt;_x000D_
  &lt;param n=""UseDa'"</definedName>
    <definedName name="_AMO_ContentDefinition_225272241.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225272241.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225272241.6" hidden="1">"'5&amp;quot; /&amp;gt;"" /&gt;_x000D_
  &lt;param n=""CredKey"" v=""TABLE3_5&amp;#x1;SASApp&amp;#x1;LFSR Tabulation Datasets"" /&gt;_x000D_
  &lt;param n=""ClassName"" v=""SAS.OfficeAddin.Task"" /&gt;_x000D_
  &lt;param n=""XlNative"" v=""False"" /&gt;_x000D_
  &lt;param n=""UnselectedIds"" v="""" /&gt;_x000D_
  &lt;param n'"</definedName>
    <definedName name="_AMO_ContentDefinition_225272241.7" hidden="1">"'=""_ROM_Version_"" v=""1.2"" /&gt;_x000D_
  &lt;param n=""_ROM_Application_"" v=""ODS"" /&gt;_x000D_
  &lt;param n=""_ROM_AppVersion_"" v=""9.2"" /&gt;_x000D_
  &lt;param n=""maxReportCols"" v=""14"" /&gt;_x000D_
  &lt;fids n=""main.srx"" v=""0"" /&gt;_x000D_
  &lt;ExcelXMLOptions AdjColWidths=""True"" RowOp'"</definedName>
    <definedName name="_AMO_ContentDefinition_225272241.8" hidden="1">"'t=""InsertEntire"" ColOpt=""InsertCells"" /&gt;_x000D_
&lt;/ContentDefinition&gt;'"</definedName>
    <definedName name="_AMO_ContentDefinition_242095788" hidden="1">"'Partitions:9'"</definedName>
    <definedName name="_AMO_ContentDefinition_242095788.0" hidden="1">"'&lt;ContentDefinition name=""Summary Tables"" rsid=""242095788"" type=""Task"" format=""ReportXml"" imgfmt=""ActiveX"" created=""10/24/2012 16:11:53"" modifed=""03/04/2014 10:18:13"" user=""ndivhuwog"" apply=""False"" css=""C:\Program Files\SASHome\SASAd'"</definedName>
    <definedName name="_AMO_ContentDefinition_242095788.1" hidden="1">"'dinforMicrosoftOffice\5.1\Styles\AMODefault.css"" range=""Summary_Tables_49"" auto=""False"" xTime=""00:00:00.3710000"" rTime=""00:00:00.5560000"" bgnew=""False"" nFmt=""False"" grphSet=""False"" imgY=""0"" imgX=""0""&gt;_x000D_
  &lt;files&gt;C:\Users\ndivhuwog\Doc'"</definedName>
    <definedName name="_AMO_ContentDefinition_242095788.2" hidden="1">"'uments\My SAS Files\Add-In for Microsoft Office\_SOA_Summary_Tables_934375492\main.srx&lt;/files&gt;_x000D_
  &lt;parents /&gt;_x000D_
  &lt;children /&gt;_x000D_
  &lt;param n=""TaskID"" v=""D3932E3A-4FEE-43DF-956C-A605AC9AF3E7"" /&gt;_x000D_
  &lt;param n=""DisplayName"" v=""Summary Tables"" /&gt;_x000D_
  &lt;'"</definedName>
    <definedName name="_AMO_ContentDefinition_242095788.3" hidden="1">"'param n=""DisplayType"" v=""Task"" /&gt;_x000D_
  &lt;param n=""RawValues"" v=""True"" /&gt;_x000D_
  &lt;param n=""AMO_Version"" v=""5.1"" /&gt;_x000D_
  &lt;param n=""ServerName"" v=""SASApp"" /&gt;_x000D_
  &lt;param n=""AMO_Template"" v="""" /&gt;_x000D_
  &lt;param n=""UseDataConstraints"" v=""False"" /&gt;'"</definedName>
    <definedName name="_AMO_ContentDefinition_24209578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42095788.5" hidden="1">"'&amp;amp;quot;1.0&amp;amp;quot; encoding=&amp;amp;quot;utf-16&amp;amp;quot;?&amp;amp;gt;&amp;amp;lt;FilterTree&amp;amp;gt;&amp;amp;lt;TreeRoot /&amp;amp;gt;&amp;amp;lt;/FilterTree&amp;amp;gt;&amp;quot; ColSelFlg=&amp;quot;0&amp;quot; Name=&amp;quot;TABLE7&amp;quot; /&amp;gt;"" /&gt;_x000D_
  &lt;param n=""CredKey"" v=""TABLE7&amp;#x1'"</definedName>
    <definedName name="_AMO_ContentDefinition_242095788.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242095788.7" hidden="1">"'ion_"" v=""ODS"" /&gt;_x000D_
  &lt;param n=""_ROM_AppVersion_"" v=""9.2"" /&gt;_x000D_
  &lt;param n=""maxReportCols"" v=""13"" /&gt;_x000D_
  &lt;fids n=""main.srx"" v=""0"" /&gt;_x000D_
  &lt;ExcelXMLOptions AdjColWidths=""True"" RowOpt=""InsertEntire"" ColOpt=""InsertCells"" /&gt;_x000D_'"</definedName>
    <definedName name="_AMO_ContentDefinition_242095788.8" hidden="1">"'
&lt;/ContentDefinition&gt;'"</definedName>
    <definedName name="_AMO_ContentDefinition_247862661" hidden="1">"'Partitions:9'"</definedName>
    <definedName name="_AMO_ContentDefinition_247862661.0" hidden="1">"'&lt;ContentDefinition name=""Summary Tables"" rsid=""247862661"" type=""Task"" format=""ReportXml"" imgfmt=""ACTXIMG"" created=""01/27/2011 15:40:18"" modifed=""02/28/2014 13:44:08"" user=""ndivhuwog"" apply=""False"" css=""C:\Program Files\SAS\Shared Fi'"</definedName>
    <definedName name="_AMO_ContentDefinition_247862661.1" hidden="1">"'les\BIClientStyles\AMODefault.css"" range=""Summary_Tables_33"" auto=""False"" xTime=""00:00:00.4570000"" rTime=""00:00:00.5300000"" bgnew=""False"" nFmt=""False"" grphSet=""False"" imgY=""0"" imgX=""0""&gt;_x000D_
  &lt;files&gt;C:\Users\ndivhuwog\Documents\My SAS '"</definedName>
    <definedName name="_AMO_ContentDefinition_247862661.2" hidden="1">"'Files\Add-In for Microsoft Office\_SOA_Summary_Tables_172771311\main.srx&lt;/files&gt;_x000D_
  &lt;parents /&gt;_x000D_
  &lt;children /&gt;_x000D_
  &lt;param n=""TaskID"" v=""D3932E3A-4FEE-43DF-956C-A605AC9AF3E7"" /&gt;_x000D_
  &lt;param n=""DisplayName"" v=""Summary Tables"" /&gt;_x000D_
  &lt;param n=""Dis'"</definedName>
    <definedName name="_AMO_ContentDefinition_247862661.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47862661.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47862661.5" hidden="1">"'0&amp;amp;quot; encoding=&amp;amp;quot;utf-16&amp;amp;quot;?&amp;amp;gt;&amp;amp;lt;FilterTree&amp;amp;gt;&amp;amp;lt;TreeRoot /&amp;amp;gt;&amp;amp;lt;/FilterTree&amp;amp;gt;&amp;quot; UseLbls=&amp;quot;true&amp;quot; ColSelFlg=&amp;quot;0&amp;quot; Name=&amp;quot;TABLE4&amp;quot; /&amp;gt;"" /&gt;_x000D_
  &lt;param n=""CredKey"" '"</definedName>
    <definedName name="_AMO_ContentDefinition_247862661.6" hidden="1">"'v=""TABLE4&amp;#x1;SASApp&amp;#x1;LFSR Tabulation Datasets"" /&gt;_x000D_
  &lt;param n=""ClassName"" v=""SAS.OfficeAddin.Task"" /&gt;_x000D_
  &lt;param n=""XlNative"" v=""False"" /&gt;_x000D_
  &lt;param n=""UnselectedIds"" v="""" /&gt;_x000D_
  &lt;param n=""_ROM_Version_"" v=""1.2"" /&gt;_x000D_
  &lt;param n=""_'"</definedName>
    <definedName name="_AMO_ContentDefinition_247862661.7" hidden="1">"'ROM_Application_"" v=""ODS"" /&gt;_x000D_
  &lt;param n=""_ROM_AppVersion_"" v=""9.2"" /&gt;_x000D_
  &lt;param n=""maxReportCols"" v=""13"" /&gt;_x000D_
  &lt;fids n=""main.srx"" v=""0"" /&gt;_x000D_
  &lt;ExcelXMLOptions AdjColWidths=""True"" RowOpt=""InsertEntire"" ColOpt=""InsertCells"" /&gt;_x000D_'"</definedName>
    <definedName name="_AMO_ContentDefinition_247862661.8" hidden="1">"'
&lt;/ContentDefinition&gt;'"</definedName>
    <definedName name="_AMO_ContentDefinition_30194841" hidden="1">"'Partitions:9'"</definedName>
    <definedName name="_AMO_ContentDefinition_30194841.0" hidden="1">"'&lt;ContentDefinition name=""Summary Tables"" rsid=""30194841"" type=""Task"" format=""ReportXml"" imgfmt=""ActiveX"" created=""02/14/2014 12:33:27"" modifed=""03/04/2014 10:23:30"" user=""ndivhuwog"" apply=""False"" css=""C:\Program Files\SASHome\SASAdd'"</definedName>
    <definedName name="_AMO_ContentDefinition_30194841.1" hidden="1">"'inforMicrosoftOffice\5.1\Styles\AMODefault.css"" range=""Summary_Tables_57"" auto=""False"" xTime=""00:00:00.3600000"" rTime=""00:00:00.6640000"" bgnew=""False"" nFmt=""False"" grphSet=""False"" imgY=""0"" imgX=""0""&gt;_x000D_
  &lt;files&gt;C:\Users\ndivhuwog\Docu'"</definedName>
    <definedName name="_AMO_ContentDefinition_30194841.2" hidden="1">"'ments\My SAS Files\Add-In for Microsoft Office\_SOA_Summary_Tables_409067076\main.srx&lt;/files&gt;_x000D_
  &lt;parents /&gt;_x000D_
  &lt;children /&gt;_x000D_
  &lt;param n=""TaskID"" v=""D3932E3A-4FEE-43DF-956C-A605AC9AF3E7"" /&gt;_x000D_
  &lt;param n=""DisplayName"" v=""Summary Tables"" /&gt;_x000D_
  &lt;'"</definedName>
    <definedName name="_AMO_ContentDefinition_30194841.3" hidden="1">"'param n=""DisplayType"" v=""Task"" /&gt;_x000D_
  &lt;param n=""RawValues"" v=""True"" /&gt;_x000D_
  &lt;param n=""AMO_Version"" v=""5.1"" /&gt;_x000D_
  &lt;param n=""ServerName"" v=""SASApp"" /&gt;_x000D_
  &lt;param n=""AMO_Template"" v="""" /&gt;_x000D_
  &lt;param n=""UseDataConstraints"" v=""False"" /&gt;'"</definedName>
    <definedName name="_AMO_ContentDefinition_30194841.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0194841.5" hidden="1">"'&amp;amp;quot;1.0&amp;amp;quot; encoding=&amp;amp;quot;utf-16&amp;amp;quot;?&amp;amp;gt;&amp;amp;lt;FilterTree&amp;amp;gt;&amp;amp;lt;TreeRoot /&amp;amp;gt;&amp;amp;lt;/FilterTree&amp;amp;gt;&amp;quot; ColSelFlg=&amp;quot;0&amp;quot; Name=&amp;quot;TABLE6B&amp;quot; /&amp;gt;"" /&gt;_x000D_
  &lt;param n=""CredKey"" v=""TABLE6B&amp;#'"</definedName>
    <definedName name="_AMO_ContentDefinition_30194841.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30194841.7" hidden="1">"'ation_"" v=""ODS"" /&gt;_x000D_
  &lt;param n=""_ROM_AppVersion_"" v=""9.2"" /&gt;_x000D_
  &lt;param n=""maxReportCols"" v=""13"" /&gt;_x000D_
  &lt;fids n=""main.srx"" v=""0"" /&gt;_x000D_
  &lt;ExcelXMLOptions AdjColWidths=""True"" RowOpt=""InsertEntire"" ColOpt=""InsertCells"" /&gt;_x000D_'"</definedName>
    <definedName name="_AMO_ContentDefinition_30194841.8" hidden="1">"'
&lt;/ContentDefinition&gt;'"</definedName>
    <definedName name="_AMO_ContentDefinition_37461558" hidden="1">"'Partitions:9'"</definedName>
    <definedName name="_AMO_ContentDefinition_37461558.0" hidden="1">"'&lt;ContentDefinition name=""Summary Tables"" rsid=""37461558"" type=""Task"" format=""ReportXml"" imgfmt=""ActiveX"" created=""02/14/2014 15:25:47"" modifed=""02/28/2014 14:17:01"" user=""ndivhuwog"" apply=""False"" css=""C:\Program Files\SASHome\SASAdd'"</definedName>
    <definedName name="_AMO_ContentDefinition_37461558.1" hidden="1">"'inforMicrosoftOffice\5.1\Styles\AMODefault.css"" range=""Summary_Tables_61"" auto=""False"" xTime=""00:00:00.4010000"" rTime=""00:00:00.6050000"" bgnew=""False"" nFmt=""False"" grphSet=""False"" imgY=""0"" imgX=""0""&gt;_x000D_
  &lt;files&gt;C:\Users\ndivhuwog\Docu'"</definedName>
    <definedName name="_AMO_ContentDefinition_37461558.2" hidden="1">"'ments\My SAS Files\Add-In for Microsoft Office\_SOA_Summary_Tables_207425595\main.srx&lt;/files&gt;_x000D_
  &lt;parents /&gt;_x000D_
  &lt;children /&gt;_x000D_
  &lt;param n=""TaskID"" v=""D3932E3A-4FEE-43DF-956C-A605AC9AF3E7"" /&gt;_x000D_
  &lt;param n=""DisplayName"" v=""Summary Tables"" /&gt;_x000D_
  &lt;'"</definedName>
    <definedName name="_AMO_ContentDefinition_37461558.3" hidden="1">"'param n=""DisplayType"" v=""Task"" /&gt;_x000D_
  &lt;param n=""RawValues"" v=""True"" /&gt;_x000D_
  &lt;param n=""AMO_Version"" v=""5.1"" /&gt;_x000D_
  &lt;param n=""ServerName"" v=""SASApp"" /&gt;_x000D_
  &lt;param n=""AMO_Template"" v="""" /&gt;_x000D_
  &lt;param n=""UseDataConstraints"" v=""False"" /&gt;'"</definedName>
    <definedName name="_AMO_ContentDefinition_3746155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7461558.5" hidden="1">"'&amp;amp;quot;1.0&amp;amp;quot; encoding=&amp;amp;quot;utf-16&amp;amp;quot;?&amp;amp;gt;&amp;amp;lt;FilterTree&amp;amp;gt;&amp;amp;lt;TreeRoot /&amp;amp;gt;&amp;amp;lt;/FilterTree&amp;amp;gt;&amp;quot; ColSelFlg=&amp;quot;0&amp;quot; Name=&amp;quot;TABLE2_4&amp;quot; /&amp;gt;"" /&gt;_x000D_
  &lt;param n=""CredKey"" v=""TABLE2_4'"</definedName>
    <definedName name="_AMO_ContentDefinition_37461558.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37461558.7" hidden="1">"'ication_"" v=""ODS"" /&gt;_x000D_
  &lt;param n=""_ROM_AppVersion_"" v=""9.2"" /&gt;_x000D_
  &lt;param n=""maxReportCols"" v=""14"" /&gt;_x000D_
  &lt;fids n=""main.srx"" v=""0"" /&gt;_x000D_
  &lt;ExcelXMLOptions AdjColWidths=""True"" RowOpt=""InsertEntire"" ColOpt=""InsertCells"" /&gt;_x000D_'"</definedName>
    <definedName name="_AMO_ContentDefinition_37461558.8" hidden="1">"'
&lt;/ContentDefinition&gt;'"</definedName>
    <definedName name="_AMO_ContentDefinition_390982613" hidden="1">"'Partitions:9'"</definedName>
    <definedName name="_AMO_ContentDefinition_390982613.0" hidden="1">"'&lt;ContentDefinition name=""Summary Tables"" rsid=""390982613"" type=""Task"" format=""ReportXml"" imgfmt=""ACTXIMG"" created=""04/30/2009 09:25:26"" modifed=""02/28/2014 13:45:22"" user=""ndivhuwog"" apply=""False"" css=""C:\Documents and Settings\ndiv'"</definedName>
    <definedName name="_AMO_ContentDefinition_390982613.1" hidden="1">"'huwog.000\Application Data\SAS\BI Clients\Styles\Copy  of cpi (Ndivhu).css"" range=""Summary_Tables_22"" auto=""False"" xTime=""00:00:00.4100000"" rTime=""00:00:00.5250000"" bgnew=""False"" nFmt=""False"" grphSet=""False"" imgY=""0"" imgX=""0""&gt;_x000D_
  &lt;f'"</definedName>
    <definedName name="_AMO_ContentDefinition_390982613.2" hidden="1">"'iles&gt;C:\Users\ndivhuwog\Documents\My SAS Files\Add-In for Microsoft Office\_SOA_Summary_Tables_209047778\main.srx&lt;/files&gt;_x000D_
  &lt;parents /&gt;_x000D_
  &lt;children /&gt;_x000D_
  &lt;param n=""TaskID"" v=""D3932E3A-4FEE-43DF-956C-A605AC9AF3E7"" /&gt;_x000D_
  &lt;param n=""DisplayName"" '"</definedName>
    <definedName name="_AMO_ContentDefinition_390982613.3" hidden="1">"'v=""Summary Tables"" /&gt;_x000D_
  &lt;param n=""DisplayType"" v=""Task"" /&gt;_x000D_
  &lt;param n=""RawValues"" v=""True"" /&gt;_x000D_
  &lt;param n=""AMO_Version"" v=""5.1"" /&gt;_x000D_
  &lt;param n=""ServerName"" v=""SASApp"" /&gt;_x000D_
  &lt;param n=""AMO_Template"" v="""" /&gt;_x000D_
  &lt;param n=""UseDa'"</definedName>
    <definedName name="_AMO_ContentDefinition_390982613.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390982613.5" hidden="1">"'DS=&amp;quot;&amp;amp;lt;?xml version=&amp;amp;quot;1.0&amp;amp;quot; encoding=&amp;amp;quot;utf-16&amp;amp;quot;?&amp;amp;gt;&amp;amp;lt;FilterTree&amp;amp;gt;&amp;amp;lt;TreeRoot /&amp;amp;gt;&amp;amp;lt;/FilterTree&amp;amp;gt;&amp;quot; UseLbls=&amp;quot;true&amp;quot; ColSelFlg=&amp;quot;0&amp;quot; Name=&amp;quot;TABLE6&amp;'"</definedName>
    <definedName name="_AMO_ContentDefinition_390982613.6" hidden="1">"'quot; /&amp;gt;"" /&gt;_x000D_
  &lt;param n=""CredKey"" v=""TABLE6&amp;#x1;SASApp&amp;#x1;LFSR Tabulation Datasets"" /&gt;_x000D_
  &lt;param n=""ClassName"" v=""SAS.OfficeAddin.Task"" /&gt;_x000D_
  &lt;param n=""XlNative"" v=""False"" /&gt;_x000D_
  &lt;param n=""UnselectedIds"" v="""" /&gt;_x000D_
  &lt;param n=""_'"</definedName>
    <definedName name="_AMO_ContentDefinition_390982613.7" hidden="1">"'ROM_Version_"" v=""1.2"" /&gt;_x000D_
  &lt;param n=""_ROM_Application_"" v=""ODS"" /&gt;_x000D_
  &lt;param n=""_ROM_AppVersion_"" v=""9.2"" /&gt;_x000D_
  &lt;param n=""maxReportCols"" v=""13"" /&gt;_x000D_
  &lt;fids n=""main.srx"" v=""0"" /&gt;_x000D_
  &lt;ExcelXMLOptions AdjColWidths=""True"" RowOpt=""'"</definedName>
    <definedName name="_AMO_ContentDefinition_390982613.8" hidden="1">"'InsertEntire"" ColOpt=""InsertCells"" /&gt;_x000D_
&lt;/ContentDefinition&gt;'"</definedName>
    <definedName name="_AMO_ContentDefinition_398675413" hidden="1">"'Partitions:9'"</definedName>
    <definedName name="_AMO_ContentDefinition_398675413.0" hidden="1">"'&lt;ContentDefinition name=""Summary Tables"" rsid=""398675413"" type=""Task"" format=""ReportXml"" imgfmt=""ACTIVEX"" created=""04/19/2012 10:34:46"" modifed=""02/28/2014 13:39:04"" user=""ndivhuwog"" apply=""False"" css=""C:\Program Files\SAS\Shared Fi'"</definedName>
    <definedName name="_AMO_ContentDefinition_398675413.1" hidden="1">"'les\BIClientStyles\AMODefault.css"" range=""Summary_Tables_39"" auto=""False"" xTime=""00:00:00.3840000"" rTime=""00:00:00.4760000"" bgnew=""False"" nFmt=""False"" grphSet=""False"" imgY=""0"" imgX=""0""&gt;_x000D_
  &lt;files&gt;C:\Users\ndivhuwog\Documents\My SAS '"</definedName>
    <definedName name="_AMO_ContentDefinition_398675413.2" hidden="1">"'Files\Add-In for Microsoft Office\_SOA_Summary_Tables_722109671\main.srx&lt;/files&gt;_x000D_
  &lt;parents /&gt;_x000D_
  &lt;children /&gt;_x000D_
  &lt;param n=""TaskID"" v=""D3932E3A-4FEE-43DF-956C-A605AC9AF3E7"" /&gt;_x000D_
  &lt;param n=""DisplayName"" v=""Summary Tables"" /&gt;_x000D_
  &lt;param n=""Dis'"</definedName>
    <definedName name="_AMO_ContentDefinition_398675413.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398675413.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398675413.5" hidden="1">"'0&amp;amp;quot; encoding=&amp;amp;quot;utf-16&amp;amp;quot;?&amp;amp;gt;&amp;amp;lt;FilterTree&amp;amp;gt;&amp;amp;lt;TreeRoot /&amp;amp;gt;&amp;amp;lt;/FilterTree&amp;amp;gt;&amp;quot; UseLbls=&amp;quot;true&amp;quot; ColSelFlg=&amp;quot;0&amp;quot; Name=&amp;quot;TABLE3_6&amp;quot; /&amp;gt;"" /&gt;_x000D_
  &lt;param n=""CredKey""'"</definedName>
    <definedName name="_AMO_ContentDefinition_398675413.6" hidden="1">"' v=""TABLE3_6&amp;#x1;SASApp&amp;#x1;LFSR Tabulation Datasets"" /&gt;_x000D_
  &lt;param n=""ClassName"" v=""SAS.OfficeAddin.Task"" /&gt;_x000D_
  &lt;param n=""XlNative"" v=""False"" /&gt;_x000D_
  &lt;param n=""UnselectedIds"" v="""" /&gt;_x000D_
  &lt;param n=""_ROM_Version_"" v=""1.2"" /&gt;_x000D_
  &lt;param n'"</definedName>
    <definedName name="_AMO_ContentDefinition_398675413.7" hidden="1">"'=""_ROM_Application_"" v=""ODS"" /&gt;_x000D_
  &lt;param n=""_ROM_AppVersion_"" v=""9.2"" /&gt;_x000D_
  &lt;param n=""maxReportCols"" v=""13"" /&gt;_x000D_
  &lt;fids n=""main.srx"" v=""0"" /&gt;_x000D_
  &lt;ExcelXMLOptions AdjColWidths=""True"" RowOpt=""InsertEntire"" ColOpt=""InsertCells"" /&gt;'"</definedName>
    <definedName name="_AMO_ContentDefinition_398675413.8" hidden="1">"'_x000D_
&lt;/ContentDefinition&gt;'"</definedName>
    <definedName name="_AMO_ContentDefinition_416626384" hidden="1">"'Partitions:9'"</definedName>
    <definedName name="_AMO_ContentDefinition_416626384.0" hidden="1">"'&lt;ContentDefinition name=""Summary Tables"" rsid=""416626384"" type=""Task"" format=""ReportXml"" imgfmt=""ActiveX"" created=""10/17/2013 08:57:04"" modifed=""03/03/2014 15:46:53"" user=""ndivhuwog"" apply=""False"" css=""C:\Program Files\SASHome\SASAd'"</definedName>
    <definedName name="_AMO_ContentDefinition_416626384.1" hidden="1">"'dinforMicrosoftOffice\5.1\Styles\AMODefault.css"" range=""Summary_Tables_53"" auto=""False"" xTime=""00:00:00.4300430"" rTime=""00:00:00.6620662"" bgnew=""False"" nFmt=""False"" grphSet=""False"" imgY=""0"" imgX=""0""&gt;_x000D_
  &lt;files&gt;C:\Users\ndivhuwog\Doc'"</definedName>
    <definedName name="_AMO_ContentDefinition_416626384.2" hidden="1">"'uments\My SAS Files\Add-In for Microsoft Office\_SOA_Summary_Tables_558012043\main.srx&lt;/files&gt;_x000D_
  &lt;parents /&gt;_x000D_
  &lt;children /&gt;_x000D_
  &lt;param n=""TaskID"" v=""D3932E3A-4FEE-43DF-956C-A605AC9AF3E7"" /&gt;_x000D_
  &lt;param n=""DisplayName"" v=""Summary Tables"" /&gt;_x000D_
  &lt;'"</definedName>
    <definedName name="_AMO_ContentDefinition_416626384.3" hidden="1">"'param n=""DisplayType"" v=""Task"" /&gt;_x000D_
  &lt;param n=""RawValues"" v=""True"" /&gt;_x000D_
  &lt;param n=""AMO_Version"" v=""5.1"" /&gt;_x000D_
  &lt;param n=""ServerName"" v=""SASApp"" /&gt;_x000D_
  &lt;param n=""AMO_Template"" v="""" /&gt;_x000D_
  &lt;param n=""UseDataConstraints"" v=""False"" /&gt;'"</definedName>
    <definedName name="_AMO_ContentDefinition_41662638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416626384.5" hidden="1">"'&amp;amp;quot;1.0&amp;amp;quot; encoding=&amp;amp;quot;utf-16&amp;amp;quot;?&amp;amp;gt;&amp;amp;lt;FilterTree&amp;amp;gt;&amp;amp;lt;TreeRoot /&amp;amp;gt;&amp;amp;lt;/FilterTree&amp;amp;gt;&amp;quot; ColSelFlg=&amp;quot;0&amp;quot; Name=&amp;quot;TABLE2_7A&amp;quot; /&amp;gt;"" /&gt;_x000D_
  &lt;param n=""CredKey"" v=""TABLE2_'"</definedName>
    <definedName name="_AMO_ContentDefinition_416626384.6" hidden="1">"'7A&amp;#x1;SASApp&amp;#x1;LFSR Tabulation Datasets"" /&gt;_x000D_
  &lt;param n=""ClassName"" v=""SAS.OfficeAddin.Task"" /&gt;_x000D_
  &lt;param n=""XlNative"" v=""False"" /&gt;_x000D_
  &lt;param n=""UnselectedIds"" v="""" /&gt;_x000D_
  &lt;param n=""_ROM_Version_"" v=""1.2"" /&gt;_x000D_
  &lt;param n=""_ROM_Ap'"</definedName>
    <definedName name="_AMO_ContentDefinition_416626384.7" hidden="1">"'plication_"" v=""ODS"" /&gt;_x000D_
  &lt;param n=""_ROM_AppVersion_"" v=""9.2"" /&gt;_x000D_
  &lt;param n=""maxReportCols"" v=""13"" /&gt;_x000D_
  &lt;fids n=""main.srx"" v=""0"" /&gt;_x000D_
  &lt;ExcelXMLOptions AdjColWidths=""True"" RowOpt=""InsertEntire"" ColOpt=""InsertCells"" /&gt;_x000D_'"</definedName>
    <definedName name="_AMO_ContentDefinition_416626384.8" hidden="1">"'
&lt;/ContentDefinition&gt;'"</definedName>
    <definedName name="_AMO_ContentDefinition_472893794" hidden="1">"'Partitions:9'"</definedName>
    <definedName name="_AMO_ContentDefinition_472893794.0" hidden="1">"'&lt;ContentDefinition name=""Summary Tables"" rsid=""472893794"" type=""Task"" format=""ReportXml"" imgfmt=""ACTIVEX"" created=""04/19/2012 10:39:40"" modifed=""02/28/2014 13:39:58"" user=""ndivhuwog"" apply=""False"" css=""C:\Program Files\SAS\Shared Fi'"</definedName>
    <definedName name="_AMO_ContentDefinition_472893794.1" hidden="1">"'les\BIClientStyles\AMODefault.css"" range=""Summary_Tables_40"" auto=""False"" xTime=""00:00:00.3630000"" rTime=""00:00:00.4310000"" bgnew=""False"" nFmt=""False"" grphSet=""False"" imgY=""0"" imgX=""0""&gt;_x000D_
  &lt;files&gt;C:\Users\ndivhuwog\Documents\My SAS '"</definedName>
    <definedName name="_AMO_ContentDefinition_472893794.2" hidden="1">"'Files\Add-In for Microsoft Office\_SOA_Summary_Tables_319318931\main.srx&lt;/files&gt;_x000D_
  &lt;parents /&gt;_x000D_
  &lt;children /&gt;_x000D_
  &lt;param n=""TaskID"" v=""D3932E3A-4FEE-43DF-956C-A605AC9AF3E7"" /&gt;_x000D_
  &lt;param n=""DisplayName"" v=""Summary Tables"" /&gt;_x000D_
  &lt;param n=""Dis'"</definedName>
    <definedName name="_AMO_ContentDefinition_472893794.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472893794.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472893794.5" hidden="1">"'0&amp;amp;quot; encoding=&amp;amp;quot;utf-16&amp;amp;quot;?&amp;amp;gt;&amp;amp;lt;FilterTree&amp;amp;gt;&amp;amp;lt;TreeRoot /&amp;amp;gt;&amp;amp;lt;/FilterTree&amp;amp;gt;&amp;quot; UseLbls=&amp;quot;true&amp;quot; ColSelFlg=&amp;quot;0&amp;quot; Name=&amp;quot;TABLE3_7&amp;quot; /&amp;gt;"" /&gt;_x000D_
  &lt;param n=""CredKey""'"</definedName>
    <definedName name="_AMO_ContentDefinition_472893794.6" hidden="1">"' v=""TABLE3_7&amp;#x1;SASApp&amp;#x1;LFSR Tabulation Datasets"" /&gt;_x000D_
  &lt;param n=""ClassName"" v=""SAS.OfficeAddin.Task"" /&gt;_x000D_
  &lt;param n=""XlNative"" v=""False"" /&gt;_x000D_
  &lt;param n=""UnselectedIds"" v="""" /&gt;_x000D_
  &lt;param n=""_ROM_Version_"" v=""1.2"" /&gt;_x000D_
  &lt;param n'"</definedName>
    <definedName name="_AMO_ContentDefinition_472893794.7" hidden="1">"'=""_ROM_Application_"" v=""ODS"" /&gt;_x000D_
  &lt;param n=""_ROM_AppVersion_"" v=""9.2"" /&gt;_x000D_
  &lt;param n=""maxReportCols"" v=""14"" /&gt;_x000D_
  &lt;fids n=""main.srx"" v=""0"" /&gt;_x000D_
  &lt;ExcelXMLOptions AdjColWidths=""True"" RowOpt=""InsertEntire"" ColOpt=""InsertCells"" /&gt;'"</definedName>
    <definedName name="_AMO_ContentDefinition_472893794.8" hidden="1">"'_x000D_
&lt;/ContentDefinition&gt;'"</definedName>
    <definedName name="_AMO_ContentDefinition_539372770" hidden="1">"'Partitions:9'"</definedName>
    <definedName name="_AMO_ContentDefinition_539372770.0" hidden="1">"'&lt;ContentDefinition name=""Summary Tables"" rsid=""539372770"" type=""Task"" format=""ReportXml"" imgfmt=""ActiveX"" created=""02/14/2014 15:08:13"" modifed=""02/28/2014 13:12:16"" user=""ndivhuwog"" apply=""False"" css=""C:\Program Files\SASHome\SASAd'"</definedName>
    <definedName name="_AMO_ContentDefinition_539372770.1" hidden="1">"'dinforMicrosoftOffice\5.1\Styles\AMODefault.css"" range=""Summary_Tables_48"" auto=""False"" xTime=""00:00:00.4450000"" rTime=""00:00:00.6550000"" bgnew=""False"" nFmt=""False"" grphSet=""False"" imgY=""0"" imgX=""0""&gt;_x000D_
  &lt;files&gt;C:\Users\ndivhuwog\Doc'"</definedName>
    <definedName name="_AMO_ContentDefinition_539372770.2" hidden="1">"'uments\My SAS Files\Add-In for Microsoft Office\_SOA_Summary_Tables_14096437\main.srx&lt;/files&gt;_x000D_
  &lt;parents /&gt;_x000D_
  &lt;children /&gt;_x000D_
  &lt;param n=""TaskID"" v=""D3932E3A-4FEE-43DF-956C-A605AC9AF3E7"" /&gt;_x000D_
  &lt;param n=""DisplayName"" v=""Summary Tables"" /&gt;_x000D_
  &lt;'"</definedName>
    <definedName name="_AMO_ContentDefinition_539372770.3" hidden="1">"'param n=""DisplayType"" v=""Task"" /&gt;_x000D_
  &lt;param n=""RawValues"" v=""True"" /&gt;_x000D_
  &lt;param n=""AMO_Version"" v=""5.1"" /&gt;_x000D_
  &lt;param n=""ServerName"" v=""SASApp"" /&gt;_x000D_
  &lt;param n=""AMO_Template"" v="""" /&gt;_x000D_
  &lt;param n=""UseDataConstraints"" v=""False"" /&gt;'"</definedName>
    <definedName name="_AMO_ContentDefinition_5393727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39372770.5" hidden="1">"'&amp;amp;quot;1.0&amp;amp;quot; encoding=&amp;amp;quot;utf-16&amp;amp;quot;?&amp;amp;gt;&amp;amp;lt;FilterTree&amp;amp;gt;&amp;amp;lt;TreeRoot /&amp;amp;gt;&amp;amp;lt;/FilterTree&amp;amp;gt;&amp;quot; ColSelFlg=&amp;quot;0&amp;quot; Name=&amp;quot;TABLE2_3A&amp;quot; /&amp;gt;"" /&gt;_x000D_
  &lt;param n=""CredKey"" v=""TABLE2_'"</definedName>
    <definedName name="_AMO_ContentDefinition_539372770.6" hidden="1">"'3A&amp;#x1;SASApp&amp;#x1;LFSR Tabulation Datasets"" /&gt;_x000D_
  &lt;param n=""ClassName"" v=""SAS.OfficeAddin.Task"" /&gt;_x000D_
  &lt;param n=""XlNative"" v=""False"" /&gt;_x000D_
  &lt;param n=""UnselectedIds"" v="""" /&gt;_x000D_
  &lt;param n=""_ROM_Version_"" v=""1.2"" /&gt;_x000D_
  &lt;param n=""_ROM_Ap'"</definedName>
    <definedName name="_AMO_ContentDefinition_539372770.7" hidden="1">"'plication_"" v=""ODS"" /&gt;_x000D_
  &lt;param n=""_ROM_AppVersion_"" v=""9.2"" /&gt;_x000D_
  &lt;param n=""maxReportCols"" v=""13"" /&gt;_x000D_
  &lt;fids n=""main.srx"" v=""0"" /&gt;_x000D_
  &lt;ExcelXMLOptions AdjColWidths=""True"" RowOpt=""InsertEntire"" ColOpt=""InsertCells"" /&gt;_x000D_'"</definedName>
    <definedName name="_AMO_ContentDefinition_539372770.8" hidden="1">"'
&lt;/ContentDefinition&gt;'"</definedName>
    <definedName name="_AMO_ContentDefinition_572615156" hidden="1">"'Partitions:9'"</definedName>
    <definedName name="_AMO_ContentDefinition_572615156.0" hidden="1">"'&lt;ContentDefinition name=""Summary Tables"" rsid=""572615156"" type=""Task"" format=""ReportXml"" imgfmt=""ActiveX"" created=""02/14/2014 09:41:50"" modifed=""02/28/2014 13:11:22"" user=""ndivhuwog"" apply=""False"" css=""C:\Program Files\SASHome\SASAd'"</definedName>
    <definedName name="_AMO_ContentDefinition_572615156.1" hidden="1">"'dinforMicrosoftOffice\5.1\Styles\AMODefault.css"" range=""Summary_Tables_55"" auto=""False"" xTime=""00:00:00.5750000"" rTime=""00:00:01.6700000"" bgnew=""False"" nFmt=""False"" grphSet=""False"" imgY=""0"" imgX=""0""&gt;_x000D_
  &lt;files&gt;C:\Users\ndivhuwog\Doc'"</definedName>
    <definedName name="_AMO_ContentDefinition_572615156.2" hidden="1">"'uments\My SAS Files\Add-In for Microsoft Office\_SOA_Summary_Tables_630743990\main.srx&lt;/files&gt;_x000D_
  &lt;parents /&gt;_x000D_
  &lt;children /&gt;_x000D_
  &lt;param n=""TaskID"" v=""D3932E3A-4FEE-43DF-956C-A605AC9AF3E7"" /&gt;_x000D_
  &lt;param n=""DisplayName"" v=""Summary Tables"" /&gt;_x000D_
  &lt;'"</definedName>
    <definedName name="_AMO_ContentDefinition_572615156.3" hidden="1">"'param n=""DisplayType"" v=""Task"" /&gt;_x000D_
  &lt;param n=""RawValues"" v=""True"" /&gt;_x000D_
  &lt;param n=""AMO_Version"" v=""5.1"" /&gt;_x000D_
  &lt;param n=""ServerName"" v=""SASApp"" /&gt;_x000D_
  &lt;param n=""AMO_Template"" v="""" /&gt;_x000D_
  &lt;param n=""UseDataConstraints"" v=""False"" /&gt;'"</definedName>
    <definedName name="_AMO_ContentDefinition_57261515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2615156.5" hidden="1">"'&amp;amp;quot;1.0&amp;amp;quot; encoding=&amp;amp;quot;utf-16&amp;amp;quot;?&amp;amp;gt;&amp;amp;lt;FilterTree&amp;amp;gt;&amp;amp;lt;TreeRoot /&amp;amp;gt;&amp;amp;lt;/FilterTree&amp;amp;gt;&amp;quot; ColSelFlg=&amp;quot;0&amp;quot; Name=&amp;quot;TABLE1&amp;quot; /&amp;gt;"" /&gt;_x000D_
  &lt;param n=""CredKey"" v=""TABLE1&amp;#x1'"</definedName>
    <definedName name="_AMO_ContentDefinition_572615156.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572615156.7" hidden="1">"'ion_"" v=""ODS"" /&gt;_x000D_
  &lt;param n=""_ROM_AppVersion_"" v=""9.2"" /&gt;_x000D_
  &lt;param n=""maxReportCols"" v=""14"" /&gt;_x000D_
  &lt;fids n=""main.srx"" v=""0"" /&gt;_x000D_
  &lt;ExcelXMLOptions AdjColWidths=""True"" RowOpt=""InsertEntire"" ColOpt=""InsertCells"" /&gt;_x000D_'"</definedName>
    <definedName name="_AMO_ContentDefinition_572615156.8" hidden="1">"'
&lt;/ContentDefinition&gt;'"</definedName>
    <definedName name="_AMO_ContentDefinition_576762798" hidden="1">"'Partitions:9'"</definedName>
    <definedName name="_AMO_ContentDefinition_576762798.0" hidden="1">"'&lt;ContentDefinition name=""Summary Tables"" rsid=""576762798"" type=""Task"" format=""ReportXml"" imgfmt=""ACTXIMG"" created=""04/28/2009 15:48:21"" modifed=""02/28/2014 13:36:30"" user=""ndivhuwog"" apply=""False"" css=""C:\Documents and Settings\ndiv'"</definedName>
    <definedName name="_AMO_ContentDefinition_576762798.1" hidden="1">"'huwog.000\Application Data\SAS\BI Clients\Styles\Copy  of cpi (Ndivhu).css"" range=""Summary_Tables_7"" auto=""False"" xTime=""00:00:00.3550000"" rTime=""00:00:00.5090000"" bgnew=""False"" nFmt=""False"" grphSet=""False"" imgY=""0"" imgX=""0""&gt;_x000D_
  &lt;fi'"</definedName>
    <definedName name="_AMO_ContentDefinition_576762798.2" hidden="1">"'les&gt;C:\Users\ndivhuwog\Documents\My SAS Files\Add-In for Microsoft Office\_SOA_Summary_Tables_201144259\main.srx&lt;/files&gt;_x000D_
  &lt;parents /&gt;_x000D_
  &lt;children /&gt;_x000D_
  &lt;param n=""TaskID"" v=""D3932E3A-4FEE-43DF-956C-A605AC9AF3E7"" /&gt;_x000D_
  &lt;param n=""DisplayName"" v'"</definedName>
    <definedName name="_AMO_ContentDefinition_576762798.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76762798.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76762798.5" hidden="1">"'S=&amp;quot;&amp;amp;lt;?xml version=&amp;amp;quot;1.0&amp;amp;quot; encoding=&amp;amp;quot;utf-16&amp;amp;quot;?&amp;amp;gt;&amp;amp;lt;FilterTree&amp;amp;gt;&amp;amp;lt;TreeRoot /&amp;amp;gt;&amp;amp;lt;/FilterTree&amp;amp;gt;&amp;quot; UseLbls=&amp;quot;true&amp;quot; ColSelFlg=&amp;quot;0&amp;quot; Name=&amp;quot;TABLE3_3'"</definedName>
    <definedName name="_AMO_ContentDefinition_576762798.6" hidden="1">"'&amp;quot; /&amp;gt;"" /&gt;_x000D_
  &lt;param n=""CredKey"" v=""TABLE3_3&amp;#x1;SASApp&amp;#x1;LFSR Tabulation Datasets"" /&gt;_x000D_
  &lt;param n=""ClassName"" v=""SAS.OfficeAddin.Task"" /&gt;_x000D_
  &lt;param n=""XlNative"" v=""False"" /&gt;_x000D_
  &lt;param n=""UnselectedIds"" v="""" /&gt;_x000D_
  &lt;param n='"</definedName>
    <definedName name="_AMO_ContentDefinition_576762798.7" hidden="1">"'""_ROM_Version_"" v=""1.2"" /&gt;_x000D_
  &lt;param n=""_ROM_Application_"" v=""ODS"" /&gt;_x000D_
  &lt;param n=""_ROM_AppVersion_"" v=""9.2"" /&gt;_x000D_
  &lt;param n=""maxReportCols"" v=""14"" /&gt;_x000D_
  &lt;fids n=""main.srx"" v=""0"" /&gt;_x000D_
  &lt;ExcelXMLOptions AdjColWidths=""True"" RowOp'"</definedName>
    <definedName name="_AMO_ContentDefinition_576762798.8" hidden="1">"'t=""InsertEntire"" ColOpt=""InsertCells"" /&gt;_x000D_
&lt;/ContentDefinition&gt;'"</definedName>
    <definedName name="_AMO_ContentDefinition_576788546" hidden="1">"'Partitions:9'"</definedName>
    <definedName name="_AMO_ContentDefinition_576788546.0" hidden="1">"'&lt;ContentDefinition name=""Summary Tables"" rsid=""576788546"" type=""Task"" format=""ReportXml"" imgfmt=""ActiveX"" created=""02/14/2014 15:04:16"" modifed=""02/28/2014 13:12:09"" user=""ndivhuwog"" apply=""False"" css=""C:\Program Files\SASHome\SASAd'"</definedName>
    <definedName name="_AMO_ContentDefinition_576788546.1" hidden="1">"'dinforMicrosoftOffice\5.1\Styles\AMODefault.css"" range=""Summary_Tables_59"" auto=""False"" xTime=""00:00:00.4400000"" rTime=""00:00:00.6800000"" bgnew=""False"" nFmt=""False"" grphSet=""False"" imgY=""0"" imgX=""0""&gt;_x000D_
  &lt;files&gt;C:\Users\ndivhuwog\Doc'"</definedName>
    <definedName name="_AMO_ContentDefinition_576788546.2" hidden="1">"'uments\My SAS Files\Add-In for Microsoft Office\_SOA_Summary_Tables_997907463\main.srx&lt;/files&gt;_x000D_
  &lt;parents /&gt;_x000D_
  &lt;children /&gt;_x000D_
  &lt;param n=""TaskID"" v=""D3932E3A-4FEE-43DF-956C-A605AC9AF3E7"" /&gt;_x000D_
  &lt;param n=""DisplayName"" v=""Summary Tables"" /&gt;_x000D_
  &lt;'"</definedName>
    <definedName name="_AMO_ContentDefinition_576788546.3" hidden="1">"'param n=""DisplayType"" v=""Task"" /&gt;_x000D_
  &lt;param n=""RawValues"" v=""True"" /&gt;_x000D_
  &lt;param n=""AMO_Version"" v=""5.1"" /&gt;_x000D_
  &lt;param n=""ServerName"" v=""SASApp"" /&gt;_x000D_
  &lt;param n=""AMO_Template"" v="""" /&gt;_x000D_
  &lt;param n=""UseDataConstraints"" v=""False"" /&gt;'"</definedName>
    <definedName name="_AMO_ContentDefinition_57678854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6788546.5" hidden="1">"'&amp;amp;quot;1.0&amp;amp;quot; encoding=&amp;amp;quot;utf-16&amp;amp;quot;?&amp;amp;gt;&amp;amp;lt;FilterTree&amp;amp;gt;&amp;amp;lt;TreeRoot /&amp;amp;gt;&amp;amp;lt;/FilterTree&amp;amp;gt;&amp;quot; ColSelFlg=&amp;quot;0&amp;quot; Name=&amp;quot;TABLE2_2&amp;quot; /&amp;gt;"" /&gt;_x000D_
  &lt;param n=""CredKey"" v=""TABLE2_2'"</definedName>
    <definedName name="_AMO_ContentDefinition_576788546.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576788546.7" hidden="1">"'ication_"" v=""ODS"" /&gt;_x000D_
  &lt;param n=""_ROM_AppVersion_"" v=""9.2"" /&gt;_x000D_
  &lt;param n=""maxReportCols"" v=""13"" /&gt;_x000D_
  &lt;fids n=""main.srx"" v=""0"" /&gt;_x000D_
  &lt;ExcelXMLOptions AdjColWidths=""True"" RowOpt=""InsertEntire"" ColOpt=""InsertCells"" /&gt;_x000D_'"</definedName>
    <definedName name="_AMO_ContentDefinition_576788546.8" hidden="1">"'
&lt;/ContentDefinition&gt;'"</definedName>
    <definedName name="_AMO_ContentDefinition_587946619" hidden="1">"'Partitions:9'"</definedName>
    <definedName name="_AMO_ContentDefinition_587946619.0" hidden="1">"'&lt;ContentDefinition name=""Summary Tables"" rsid=""587946619"" type=""Task"" format=""ReportXml"" imgfmt=""ACTXIMG"" created=""04/28/2009 15:59:01"" modifed=""02/28/2014 13:35:14"" user=""ndivhuwog"" apply=""False"" css=""C:\Documents and Settings\ndiv'"</definedName>
    <definedName name="_AMO_ContentDefinition_587946619.1" hidden="1">"'huwog.000\Application Data\SAS\BI Clients\Styles\Copy  of cpi (Ndivhu).css"" range=""Summary_Tables_9"" auto=""False"" xTime=""00:00:00.4370000"" rTime=""00:00:00.5820000"" bgnew=""False"" nFmt=""False"" grphSet=""False"" imgY=""0"" imgX=""0""&gt;_x000D_
  &lt;fi'"</definedName>
    <definedName name="_AMO_ContentDefinition_587946619.2" hidden="1">"'les&gt;C:\Users\ndivhuwog\Documents\My SAS Files\Add-In for Microsoft Office\_SOA_Summary_Tables_168906058\main.srx&lt;/files&gt;_x000D_
  &lt;parents /&gt;_x000D_
  &lt;children /&gt;_x000D_
  &lt;param n=""TaskID"" v=""D3932E3A-4FEE-43DF-956C-A605AC9AF3E7"" /&gt;_x000D_
  &lt;param n=""DisplayName"" v'"</definedName>
    <definedName name="_AMO_ContentDefinition_587946619.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87946619.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87946619.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587946619.6" hidden="1">"'B&amp;quot; /&amp;gt;"" /&gt;_x000D_
  &lt;param n=""CredKey"" v=""TABLE3_2B&amp;#x1;SASApp&amp;#x1;LFSR Tabulation Datasets"" /&gt;_x000D_
  &lt;param n=""ClassName"" v=""SAS.OfficeAddin.Task"" /&gt;_x000D_
  &lt;param n=""XlNative"" v=""False"" /&gt;_x000D_
  &lt;param n=""UnselectedIds"" v="""" /&gt;_x000D_
  &lt;param n'"</definedName>
    <definedName name="_AMO_ContentDefinition_587946619.7" hidden="1">"'=""_ROM_Version_"" v=""1.2"" /&gt;_x000D_
  &lt;param n=""_ROM_Application_"" v=""ODS"" /&gt;_x000D_
  &lt;param n=""_ROM_AppVersion_"" v=""9.2"" /&gt;_x000D_
  &lt;param n=""maxReportCols"" v=""14"" /&gt;_x000D_
  &lt;fids n=""main.srx"" v=""0"" /&gt;_x000D_
  &lt;ExcelXMLOptions AdjColWidths=""True"" RowOp'"</definedName>
    <definedName name="_AMO_ContentDefinition_587946619.8" hidden="1">"'t=""InsertEntire"" ColOpt=""InsertCells"" /&gt;_x000D_
&lt;/ContentDefinition&gt;'"</definedName>
    <definedName name="_AMO_ContentDefinition_617623402" hidden="1">"'Partitions:9'"</definedName>
    <definedName name="_AMO_ContentDefinition_617623402.0" hidden="1">"'&lt;ContentDefinition name=""Summary Tables"" rsid=""617623402"" type=""Task"" format=""ReportXml"" imgfmt=""ACTXIMG"" created=""04/28/2009 15:54:13"" modifed=""02/28/2014 13:34:14"" user=""ndivhuwog"" apply=""False"" css=""C:\Documents and Settings\ndiv'"</definedName>
    <definedName name="_AMO_ContentDefinition_617623402.1" hidden="1">"'huwog.000\Application Data\SAS\BI Clients\Styles\Copy  of cpi (Ndivhu).css"" range=""Summary_Tables_8"" auto=""False"" xTime=""00:00:00.4540000"" rTime=""00:00:00.7870000"" bgnew=""False"" nFmt=""False"" grphSet=""False"" imgY=""0"" imgX=""0""&gt;_x000D_
  &lt;fi'"</definedName>
    <definedName name="_AMO_ContentDefinition_617623402.2" hidden="1">"'les&gt;C:\Users\ndivhuwog\Documents\My SAS Files\Add-In for Microsoft Office\_SOA_Summary_Tables_675370892\main.srx&lt;/files&gt;_x000D_
  &lt;parents /&gt;_x000D_
  &lt;children /&gt;_x000D_
  &lt;param n=""TaskID"" v=""D3932E3A-4FEE-43DF-956C-A605AC9AF3E7"" /&gt;_x000D_
  &lt;param n=""DisplayName"" v'"</definedName>
    <definedName name="_AMO_ContentDefinition_6176234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6176234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617623402.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617623402.6" hidden="1">"'A&amp;quot; /&amp;gt;"" /&gt;_x000D_
  &lt;param n=""CredKey"" v=""TABLE3_2A&amp;#x1;SASApp&amp;#x1;LFSR Tabulation Datasets"" /&gt;_x000D_
  &lt;param n=""ClassName"" v=""SAS.OfficeAddin.Task"" /&gt;_x000D_
  &lt;param n=""XlNative"" v=""False"" /&gt;_x000D_
  &lt;param n=""UnselectedIds"" v="""" /&gt;_x000D_
  &lt;param n'"</definedName>
    <definedName name="_AMO_ContentDefinition_617623402.7" hidden="1">"'=""_ROM_Version_"" v=""1.2"" /&gt;_x000D_
  &lt;param n=""_ROM_Application_"" v=""ODS"" /&gt;_x000D_
  &lt;param n=""_ROM_AppVersion_"" v=""9.2"" /&gt;_x000D_
  &lt;param n=""maxReportCols"" v=""13"" /&gt;_x000D_
  &lt;fids n=""main.srx"" v=""0"" /&gt;_x000D_
  &lt;ExcelXMLOptions AdjColWidths=""True"" RowOp'"</definedName>
    <definedName name="_AMO_ContentDefinition_617623402.8" hidden="1">"'t=""InsertEntire"" ColOpt=""InsertCells"" /&gt;_x000D_
&lt;/ContentDefinition&gt;'"</definedName>
    <definedName name="_AMO_ContentDefinition_621796666" hidden="1">"'Partitions:9'"</definedName>
    <definedName name="_AMO_ContentDefinition_621796666.0" hidden="1">"'&lt;ContentDefinition name=""Summary Tables"" rsid=""621796666"" type=""Task"" format=""ReportXml"" imgfmt=""ACTIVEX"" created=""04/19/2012 10:44:15"" modifed=""02/28/2014 13:41:25"" user=""ndivhuwog"" apply=""False"" css=""C:\Program Files\SAS\Shared Fi'"</definedName>
    <definedName name="_AMO_ContentDefinition_621796666.1" hidden="1">"'les\BIClientStyles\AMODefault.css"" range=""Summary_Tables_41"" auto=""False"" xTime=""00:00:00.4240000"" rTime=""00:00:00.7220000"" bgnew=""False"" nFmt=""False"" grphSet=""False"" imgY=""0"" imgX=""0""&gt;_x000D_
  &lt;files&gt;C:\Users\ndivhuwog\Documents\My SAS '"</definedName>
    <definedName name="_AMO_ContentDefinition_621796666.2" hidden="1">"'Files\Add-In for Microsoft Office\_SOA_Summary_Tables_533389665\main.srx&lt;/files&gt;_x000D_
  &lt;parents /&gt;_x000D_
  &lt;children /&gt;_x000D_
  &lt;param n=""TaskID"" v=""D3932E3A-4FEE-43DF-956C-A605AC9AF3E7"" /&gt;_x000D_
  &lt;param n=""DisplayName"" v=""Summary Tables"" /&gt;_x000D_
  &lt;param n=""Dis'"</definedName>
    <definedName name="_AMO_ContentDefinition_621796666.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621796666.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621796666.5" hidden="1">"'0&amp;amp;quot; encoding=&amp;amp;quot;utf-16&amp;amp;quot;?&amp;amp;gt;&amp;amp;lt;FilterTree&amp;amp;gt;&amp;amp;lt;TreeRoot /&amp;amp;gt;&amp;amp;lt;/FilterTree&amp;amp;gt;&amp;quot; UseLbls=&amp;quot;true&amp;quot; ColSelFlg=&amp;quot;0&amp;quot; Name=&amp;quot;TABLE3_8A&amp;quot; /&amp;gt;"" /&gt;_x000D_
  &lt;param n=""CredKey'"</definedName>
    <definedName name="_AMO_ContentDefinition_621796666.6" hidden="1">"'"" v=""TABLE3_8A&amp;#x1;SASApp&amp;#x1;LFSR Tabulation Datasets"" /&gt;_x000D_
  &lt;param n=""ClassName"" v=""SAS.OfficeAddin.Task"" /&gt;_x000D_
  &lt;param n=""XlNative"" v=""False"" /&gt;_x000D_
  &lt;param n=""UnselectedIds"" v="""" /&gt;_x000D_
  &lt;param n=""_ROM_Version_"" v=""1.2"" /&gt;_x000D_
  &lt;param'"</definedName>
    <definedName name="_AMO_ContentDefinition_621796666.7" hidden="1">"' n=""_ROM_Application_"" v=""ODS"" /&gt;_x000D_
  &lt;param n=""_ROM_AppVersion_"" v=""9.2"" /&gt;_x000D_
  &lt;param n=""maxReportCols"" v=""13"" /&gt;_x000D_
  &lt;fids n=""main.srx"" v=""0"" /&gt;_x000D_
  &lt;ExcelXMLOptions AdjColWidths=""True"" RowOpt=""InsertEntire"" ColOpt=""InsertCells"" /'"</definedName>
    <definedName name="_AMO_ContentDefinition_621796666.8" hidden="1">"'&gt;_x000D_
&lt;/ContentDefinition&gt;'"</definedName>
    <definedName name="_AMO_ContentDefinition_65748969" hidden="1">"'Partitions:9'"</definedName>
    <definedName name="_AMO_ContentDefinition_65748969.0" hidden="1">"'&lt;ContentDefinition name=""Summary Tables"" rsid=""65748969"" type=""Task"" format=""ReportXml"" imgfmt=""ActiveX"" created=""10/17/2013 09:00:29"" modifed=""03/03/2014 15:47:01"" user=""ndivhuwog"" apply=""False"" css=""C:\Program Files\SASHome\SASAdd'"</definedName>
    <definedName name="_AMO_ContentDefinition_65748969.1" hidden="1">"'inforMicrosoftOffice\5.1\Styles\AMODefault.css"" range=""Summary_Tables_54"" auto=""False"" xTime=""00:00:00.4260426"" rTime=""00:00:00.6190619"" bgnew=""False"" nFmt=""False"" grphSet=""False"" imgY=""0"" imgX=""0""&gt;_x000D_
  &lt;files&gt;C:\Users\ndivhuwog\Docu'"</definedName>
    <definedName name="_AMO_ContentDefinition_65748969.2" hidden="1">"'ments\My SAS Files\Add-In for Microsoft Office\_SOA_Summary_Tables_869296011\main.srx&lt;/files&gt;_x000D_
  &lt;parents /&gt;_x000D_
  &lt;children /&gt;_x000D_
  &lt;param n=""TaskID"" v=""D3932E3A-4FEE-43DF-956C-A605AC9AF3E7"" /&gt;_x000D_
  &lt;param n=""DisplayName"" v=""Summary Tables"" /&gt;_x000D_
  &lt;'"</definedName>
    <definedName name="_AMO_ContentDefinition_65748969.3" hidden="1">"'param n=""DisplayType"" v=""Task"" /&gt;_x000D_
  &lt;param n=""RawValues"" v=""True"" /&gt;_x000D_
  &lt;param n=""AMO_Version"" v=""5.1"" /&gt;_x000D_
  &lt;param n=""ServerName"" v=""SASApp"" /&gt;_x000D_
  &lt;param n=""AMO_Template"" v="""" /&gt;_x000D_
  &lt;param n=""UseDataConstraints"" v=""False"" /&gt;'"</definedName>
    <definedName name="_AMO_ContentDefinition_6574896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5748969.5" hidden="1">"'&amp;amp;quot;1.0&amp;amp;quot; encoding=&amp;amp;quot;utf-16&amp;amp;quot;?&amp;amp;gt;&amp;amp;lt;FilterTree&amp;amp;gt;&amp;amp;lt;TreeRoot /&amp;amp;gt;&amp;amp;lt;/FilterTree&amp;amp;gt;&amp;quot; ColSelFlg=&amp;quot;0&amp;quot; Name=&amp;quot;TABLE2_7B&amp;quot; /&amp;gt;"" /&gt;_x000D_
  &lt;param n=""CredKey"" v=""TABLE2_'"</definedName>
    <definedName name="_AMO_ContentDefinition_65748969.6" hidden="1">"'7B&amp;#x1;SASApp&amp;#x1;LFSR Tabulation Datasets"" /&gt;_x000D_
  &lt;param n=""ClassName"" v=""SAS.OfficeAddin.Task"" /&gt;_x000D_
  &lt;param n=""XlNative"" v=""False"" /&gt;_x000D_
  &lt;param n=""UnselectedIds"" v="""" /&gt;_x000D_
  &lt;param n=""_ROM_Version_"" v=""1.2"" /&gt;_x000D_
  &lt;param n=""_ROM_Ap'"</definedName>
    <definedName name="_AMO_ContentDefinition_65748969.7" hidden="1">"'plication_"" v=""ODS"" /&gt;_x000D_
  &lt;param n=""_ROM_AppVersion_"" v=""9.2"" /&gt;_x000D_
  &lt;param n=""maxReportCols"" v=""13"" /&gt;_x000D_
  &lt;fids n=""main.srx"" v=""0"" /&gt;_x000D_
  &lt;ExcelXMLOptions AdjColWidths=""True"" RowOpt=""InsertEntire"" ColOpt=""InsertCells"" /&gt;_x000D_'"</definedName>
    <definedName name="_AMO_ContentDefinition_65748969.8" hidden="1">"'
&lt;/ContentDefinition&gt;'"</definedName>
    <definedName name="_AMO_ContentDefinition_662231970" hidden="1">"'Partitions:9'"</definedName>
    <definedName name="_AMO_ContentDefinition_662231970.0" hidden="1">"'&lt;ContentDefinition name=""Summary Tables"" rsid=""662231970"" type=""Task"" format=""ReportXml"" imgfmt=""ActiveX"" created=""01/24/2014 16:15:59"" modifed=""01/24/2014 16:15:59"" user=""ndivhuwog"" apply=""False"" css=""C:\Program Files\SASHome\SASAd'"</definedName>
    <definedName name="_AMO_ContentDefinition_662231970.1" hidden="1">"'dinforMicrosoftOffice\5.1\Styles\AMODefault.css"" range=""Summary_Tables_56"" auto=""False"" xTime=""00:00:00.3860000"" rTime=""00:00:00.6420000"" bgnew=""False"" nFmt=""False"" grphSet=""False"" imgY=""0"" imgX=""0""&gt;_x000D_
  &lt;files&gt;C:\Users\ndivhuwog\Doc'"</definedName>
    <definedName name="_AMO_ContentDefinition_662231970.2" hidden="1">"'uments\My SAS Files\Add-In for Microsoft Office\_SOA_Summary_Tables_364271206\main.srx&lt;/files&gt;_x000D_
  &lt;parents /&gt;_x000D_
  &lt;children /&gt;_x000D_
  &lt;param n=""TaskID"" v=""D3932E3A-4FEE-43DF-956C-A605AC9AF3E7"" /&gt;_x000D_
  &lt;param n=""DisplayName"" v=""Summary Tables"" /&gt;_x000D_
  &lt;'"</definedName>
    <definedName name="_AMO_ContentDefinition_662231970.3" hidden="1">"'param n=""DisplayType"" v=""Task"" /&gt;_x000D_
  &lt;param n=""RawValues"" v=""True"" /&gt;_x000D_
  &lt;param n=""AMO_Version"" v=""5.1"" /&gt;_x000D_
  &lt;param n=""ServerName"" v=""SASApp"" /&gt;_x000D_
  &lt;param n=""AMO_Template"" v="""" /&gt;_x000D_
  &lt;param n=""UseDataConstraints"" v=""False"" /&gt;'"</definedName>
    <definedName name="_AMO_ContentDefinition_6622319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62231970.5" hidden="1">"'&amp;amp;quot;1.0&amp;amp;quot; encoding=&amp;amp;quot;utf-16&amp;amp;quot;?&amp;amp;gt;&amp;amp;lt;FilterTree&amp;amp;gt;&amp;amp;lt;TreeRoot /&amp;amp;gt;&amp;amp;lt;/FilterTree&amp;amp;gt;&amp;quot; ColSelFlg=&amp;quot;0&amp;quot; Name=&amp;quot;TABLE7B&amp;quot; /&amp;gt;"" /&gt;_x000D_
  &lt;param n=""CredKey"" v=""TABLE7B&amp;#'"</definedName>
    <definedName name="_AMO_ContentDefinition_662231970.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662231970.7" hidden="1">"'ation_"" v=""ODS"" /&gt;_x000D_
  &lt;param n=""_ROM_AppVersion_"" v=""9.2"" /&gt;_x000D_
  &lt;param n=""maxReportCols"" v=""10"" /&gt;_x000D_
  &lt;fids n=""main.srx"" v=""0"" /&gt;_x000D_
  &lt;ExcelXMLOptions AdjColWidths=""True"" RowOpt=""InsertEntire"" ColOpt=""InsertCells"" /&gt;_x000D_'"</definedName>
    <definedName name="_AMO_ContentDefinition_662231970.8" hidden="1">"'
&lt;/ContentDefinition&gt;'"</definedName>
    <definedName name="_AMO_ContentDefinition_671486722" hidden="1">"'Partitions:9'"</definedName>
    <definedName name="_AMO_ContentDefinition_671486722.0" hidden="1">"'&lt;ContentDefinition name=""Summary Tables"" rsid=""671486722"" type=""Task"" format=""ReportXml"" imgfmt=""ACTXIMG"" created=""04/30/2009 08:57:37"" modifed=""02/28/2014 13:43:59"" user=""ndivhuwog"" apply=""False"" css=""C:\Documents and Settings\ndiv'"</definedName>
    <definedName name="_AMO_ContentDefinition_671486722.1" hidden="1">"'huwog.000\Application Data\SAS\BI Clients\Styles\Copy  of cpi (Ndivhu).css"" range=""Summary_Tables_16"" auto=""False"" xTime=""00:00:00.5500000"" rTime=""00:00:00.9000000"" bgnew=""False"" nFmt=""False"" grphSet=""False"" imgY=""0"" imgX=""0""&gt;_x000D_
  &lt;f'"</definedName>
    <definedName name="_AMO_ContentDefinition_671486722.2" hidden="1">"'iles&gt;C:\Users\ndivhuwog\Documents\My SAS Files\Add-In for Microsoft Office\_SOA_Summary_Tables_114147470\main.srx&lt;/files&gt;_x000D_
  &lt;parents /&gt;_x000D_
  &lt;children /&gt;_x000D_
  &lt;param n=""TaskID"" v=""D3932E3A-4FEE-43DF-956C-A605AC9AF3E7"" /&gt;_x000D_
  &lt;param n=""DisplayName"" '"</definedName>
    <definedName name="_AMO_ContentDefinition_671486722.3" hidden="1">"'v=""Summary Tables"" /&gt;_x000D_
  &lt;param n=""DisplayType"" v=""Task"" /&gt;_x000D_
  &lt;param n=""RawValues"" v=""True"" /&gt;_x000D_
  &lt;param n=""AMO_Version"" v=""5.1"" /&gt;_x000D_
  &lt;param n=""ServerName"" v=""SASApp"" /&gt;_x000D_
  &lt;param n=""AMO_Template"" v="""" /&gt;_x000D_
  &lt;param n=""UseDa'"</definedName>
    <definedName name="_AMO_ContentDefinition_671486722.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671486722.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671486722.6" hidden="1">"'9&amp;quot; /&amp;gt;"" /&gt;_x000D_
  &lt;param n=""CredKey"" v=""TABLE3_9&amp;#x1;SASApp&amp;#x1;LFSR Tabulation Datasets"" /&gt;_x000D_
  &lt;param n=""ClassName"" v=""SAS.OfficeAddin.Task"" /&gt;_x000D_
  &lt;param n=""XlNative"" v=""False"" /&gt;_x000D_
  &lt;param n=""UnselectedIds"" v="""" /&gt;_x000D_
  &lt;param n'"</definedName>
    <definedName name="_AMO_ContentDefinition_671486722.7" hidden="1">"'=""_ROM_Version_"" v=""1.2"" /&gt;_x000D_
  &lt;param n=""_ROM_Application_"" v=""ODS"" /&gt;_x000D_
  &lt;param n=""_ROM_AppVersion_"" v=""9.2"" /&gt;_x000D_
  &lt;param n=""maxReportCols"" v=""14"" /&gt;_x000D_
  &lt;fids n=""main.srx"" v=""0"" /&gt;_x000D_
  &lt;ExcelXMLOptions AdjColWidths=""True"" RowOp'"</definedName>
    <definedName name="_AMO_ContentDefinition_671486722.8" hidden="1">"'t=""InsertEntire"" ColOpt=""InsertCells"" /&gt;_x000D_
&lt;/ContentDefinition&gt;'"</definedName>
    <definedName name="_AMO_ContentDefinition_732119577" hidden="1">"'Partitions:9'"</definedName>
    <definedName name="_AMO_ContentDefinition_732119577.0" hidden="1">"'&lt;ContentDefinition name=""Summary Tables"" rsid=""732119577"" type=""Task"" format=""ReportXml"" imgfmt=""ACTIVEX"" created=""04/19/2012 10:59:29"" modifed=""02/28/2014 13:43:12"" user=""ndivhuwog"" apply=""False"" css=""C:\Program Files\SAS\Shared Fi'"</definedName>
    <definedName name="_AMO_ContentDefinition_732119577.1" hidden="1">"'les\BIClientStyles\AMODefault.css"" range=""Summary_Tables_42"" auto=""False"" xTime=""00:00:00.4110000"" rTime=""00:00:00.7960000"" bgnew=""False"" nFmt=""False"" grphSet=""False"" imgY=""0"" imgX=""0""&gt;_x000D_
  &lt;files&gt;C:\Users\ndivhuwog\Documents\My SAS '"</definedName>
    <definedName name="_AMO_ContentDefinition_732119577.2" hidden="1">"'Files\Add-In for Microsoft Office\_SOA_Summary_Tables_13138569\main.srx&lt;/files&gt;_x000D_
  &lt;parents /&gt;_x000D_
  &lt;children /&gt;_x000D_
  &lt;param n=""TaskID"" v=""D3932E3A-4FEE-43DF-956C-A605AC9AF3E7"" /&gt;_x000D_
  &lt;param n=""DisplayName"" v=""Summary Tables"" /&gt;_x000D_
  &lt;param n=""Disp'"</definedName>
    <definedName name="_AMO_ContentDefinition_732119577.3" hidden="1">"'layType"" v=""Task"" /&gt;_x000D_
  &lt;param n=""RawValues"" v=""True"" /&gt;_x000D_
  &lt;param n=""AMO_Version"" v=""5.1"" /&gt;_x000D_
  &lt;param n=""ServerName"" v=""SASApp"" /&gt;_x000D_
  &lt;param n=""AMO_Template"" v="""" /&gt;_x000D_
  &lt;param n=""UseDataConstraints"" v=""False"" /&gt;_x000D_
  &lt;param n'"</definedName>
    <definedName name="_AMO_ContentDefinition_732119577.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732119577.5" hidden="1">"'0&amp;amp;quot; encoding=&amp;amp;quot;utf-16&amp;amp;quot;?&amp;amp;gt;&amp;amp;lt;FilterTree&amp;amp;gt;&amp;amp;lt;TreeRoot /&amp;amp;gt;&amp;amp;lt;/FilterTree&amp;amp;gt;&amp;quot; UseLbls=&amp;quot;true&amp;quot; ColSelFlg=&amp;quot;0&amp;quot; Name=&amp;quot;TABLE3_8C&amp;quot; /&amp;gt;"" /&gt;_x000D_
  &lt;param n=""CredKey'"</definedName>
    <definedName name="_AMO_ContentDefinition_732119577.6" hidden="1">"'"" v=""TABLE3_8C&amp;#x1;SASApp&amp;#x1;LFSR Tabulation Datasets"" /&gt;_x000D_
  &lt;param n=""ClassName"" v=""SAS.OfficeAddin.Task"" /&gt;_x000D_
  &lt;param n=""XlNative"" v=""False"" /&gt;_x000D_
  &lt;param n=""UnselectedIds"" v="""" /&gt;_x000D_
  &lt;param n=""_ROM_Version_"" v=""1.2"" /&gt;_x000D_
  &lt;param'"</definedName>
    <definedName name="_AMO_ContentDefinition_732119577.7" hidden="1">"' n=""_ROM_Application_"" v=""ODS"" /&gt;_x000D_
  &lt;param n=""_ROM_AppVersion_"" v=""9.2"" /&gt;_x000D_
  &lt;param n=""maxReportCols"" v=""14"" /&gt;_x000D_
  &lt;fids n=""main.srx"" v=""0"" /&gt;_x000D_
  &lt;ExcelXMLOptions AdjColWidths=""True"" RowOpt=""InsertEntire"" ColOpt=""InsertCells"" /'"</definedName>
    <definedName name="_AMO_ContentDefinition_732119577.8" hidden="1">"'&gt;_x000D_
&lt;/ContentDefinition&gt;'"</definedName>
    <definedName name="_AMO_ContentDefinition_779436236" hidden="1">"'Partitions:9'"</definedName>
    <definedName name="_AMO_ContentDefinition_779436236.0" hidden="1">"'&lt;ContentDefinition name=""Summary Tables"" rsid=""779436236"" type=""Task"" format=""ReportXml"" imgfmt=""ACTXIMG"" created=""04/30/2009 09:21:42"" modifed=""02/28/2014 13:45:08"" user=""ndivhuwog"" apply=""False"" css=""C:\Documents and Settings\ndiv'"</definedName>
    <definedName name="_AMO_ContentDefinition_779436236.1" hidden="1">"'huwog.000\Application Data\SAS\BI Clients\Styles\Copy  of cpi (Ndivhu).css"" range=""Summary_Tables_21"" auto=""False"" xTime=""00:00:00.3680000"" rTime=""00:00:00.4130000"" bgnew=""False"" nFmt=""False"" grphSet=""False"" imgY=""0"" imgX=""0""&gt;_x000D_
  &lt;f'"</definedName>
    <definedName name="_AMO_ContentDefinition_779436236.2" hidden="1">"'iles&gt;C:\Users\ndivhuwog\Documents\My SAS Files\Add-In for Microsoft Office\_SOA_Summary_Tables_934371315\main.srx&lt;/files&gt;_x000D_
  &lt;parents /&gt;_x000D_
  &lt;children /&gt;_x000D_
  &lt;param n=""TaskID"" v=""D3932E3A-4FEE-43DF-956C-A605AC9AF3E7"" /&gt;_x000D_
  &lt;param n=""DisplayName"" '"</definedName>
    <definedName name="_AMO_ContentDefinition_779436236.3" hidden="1">"'v=""Summary Tables"" /&gt;_x000D_
  &lt;param n=""DisplayType"" v=""Task"" /&gt;_x000D_
  &lt;param n=""RawValues"" v=""True"" /&gt;_x000D_
  &lt;param n=""AMO_Version"" v=""5.1"" /&gt;_x000D_
  &lt;param n=""ServerName"" v=""SASApp"" /&gt;_x000D_
  &lt;param n=""AMO_Template"" v="""" /&gt;_x000D_
  &lt;param n=""UseDa'"</definedName>
    <definedName name="_AMO_ContentDefinition_779436236.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779436236.5" hidden="1">"'DS=&amp;quot;&amp;amp;lt;?xml version=&amp;amp;quot;1.0&amp;amp;quot; encoding=&amp;amp;quot;utf-16&amp;amp;quot;?&amp;amp;gt;&amp;amp;lt;FilterTree&amp;amp;gt;&amp;amp;lt;TreeRoot /&amp;amp;gt;&amp;amp;lt;/FilterTree&amp;amp;gt;&amp;quot; UseLbls=&amp;quot;true&amp;quot; ColSelFlg=&amp;quot;0&amp;quot; Name=&amp;quot;TABLE5&amp;'"</definedName>
    <definedName name="_AMO_ContentDefinition_779436236.6" hidden="1">"'quot; /&amp;gt;"" /&gt;_x000D_
  &lt;param n=""CredKey"" v=""TABLE5&amp;#x1;SASApp&amp;#x1;LFSR Tabulation Datasets"" /&gt;_x000D_
  &lt;param n=""ClassName"" v=""SAS.OfficeAddin.Task"" /&gt;_x000D_
  &lt;param n=""XlNative"" v=""False"" /&gt;_x000D_
  &lt;param n=""UnselectedIds"" v="""" /&gt;_x000D_
  &lt;param n=""_'"</definedName>
    <definedName name="_AMO_ContentDefinition_779436236.7" hidden="1">"'ROM_Version_"" v=""1.2"" /&gt;_x000D_
  &lt;param n=""_ROM_Application_"" v=""ODS"" /&gt;_x000D_
  &lt;param n=""_ROM_AppVersion_"" v=""9.2"" /&gt;_x000D_
  &lt;param n=""maxReportCols"" v=""14"" /&gt;_x000D_
  &lt;fids n=""main.srx"" v=""0"" /&gt;_x000D_
  &lt;ExcelXMLOptions AdjColWidths=""True"" RowOpt=""'"</definedName>
    <definedName name="_AMO_ContentDefinition_779436236.8" hidden="1">"'InsertEntire"" ColOpt=""InsertCells"" /&gt;_x000D_
&lt;/ContentDefinition&gt;'"</definedName>
    <definedName name="_AMO_ContentDefinition_805804074" hidden="1">"'Partitions:9'"</definedName>
    <definedName name="_AMO_ContentDefinition_805804074.0" hidden="1">"'&lt;ContentDefinition name=""Summary Tables"" rsid=""805804074"" type=""Task"" format=""ReportXml"" imgfmt=""ActiveX"" created=""10/17/2013 08:52:56"" modifed=""02/28/2014 13:20:24"" user=""ndivhuwog"" apply=""False"" css=""C:\Program Files\SASHome\SASAd'"</definedName>
    <definedName name="_AMO_ContentDefinition_805804074.1" hidden="1">"'dinforMicrosoftOffice\5.1\Styles\AMODefault.css"" range=""Summary_Tables_52"" auto=""False"" xTime=""00:00:00.4480000"" rTime=""00:00:01.4090000"" bgnew=""False"" nFmt=""False"" grphSet=""False"" imgY=""0"" imgX=""0""&gt;_x000D_
  &lt;files&gt;C:\Users\ndivhuwog\Doc'"</definedName>
    <definedName name="_AMO_ContentDefinition_805804074.2" hidden="1">"'uments\My SAS Files\Add-In for Microsoft Office\_SOA_Summary_Tables_843963519\main.srx&lt;/files&gt;_x000D_
  &lt;parents /&gt;_x000D_
  &lt;children /&gt;_x000D_
  &lt;param n=""TaskID"" v=""D3932E3A-4FEE-43DF-956C-A605AC9AF3E7"" /&gt;_x000D_
  &lt;param n=""DisplayName"" v=""Summary Tables"" /&gt;_x000D_
  &lt;'"</definedName>
    <definedName name="_AMO_ContentDefinition_805804074.3" hidden="1">"'param n=""DisplayType"" v=""Task"" /&gt;_x000D_
  &lt;param n=""RawValues"" v=""True"" /&gt;_x000D_
  &lt;param n=""AMO_Version"" v=""5.1"" /&gt;_x000D_
  &lt;param n=""ServerName"" v=""SASApp"" /&gt;_x000D_
  &lt;param n=""AMO_Template"" v="""" /&gt;_x000D_
  &lt;param n=""UseDataConstraints"" v=""False"" /&gt;'"</definedName>
    <definedName name="_AMO_ContentDefinition_80580407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805804074.5" hidden="1">"'&amp;amp;quot;1.0&amp;amp;quot; encoding=&amp;amp;quot;utf-16&amp;amp;quot;?&amp;amp;gt;&amp;amp;lt;FilterTree&amp;amp;gt;&amp;amp;lt;TreeRoot /&amp;amp;gt;&amp;amp;lt;/FilterTree&amp;amp;gt;&amp;quot; ColSelFlg=&amp;quot;0&amp;quot; Name=&amp;quot;TABLE2_6&amp;quot; /&amp;gt;"" /&gt;_x000D_
  &lt;param n=""CredKey"" v=""TABLE2_6'"</definedName>
    <definedName name="_AMO_ContentDefinition_80580407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805804074.7" hidden="1">"'ication_"" v=""ODS"" /&gt;_x000D_
  &lt;param n=""_ROM_AppVersion_"" v=""9.2"" /&gt;_x000D_
  &lt;param n=""maxReportCols"" v=""13"" /&gt;_x000D_
  &lt;fids n=""main.srx"" v=""0"" /&gt;_x000D_
  &lt;ExcelXMLOptions AdjColWidths=""True"" RowOpt=""InsertEntire"" ColOpt=""InsertCells"" /&gt;_x000D_'"</definedName>
    <definedName name="_AMO_ContentDefinition_805804074.8" hidden="1">"'
&lt;/ContentDefinition&gt;'"</definedName>
    <definedName name="_AMO_ContentDefinition_825207699" hidden="1">"'Partitions:9'"</definedName>
    <definedName name="_AMO_ContentDefinition_825207699.0" hidden="1">"'&lt;ContentDefinition name=""Summary Tables"" rsid=""825207699"" type=""Task"" format=""ReportXml"" imgfmt=""ACTXIMG"" created=""04/29/2009 15:23:57"" modifed=""02/28/2014 13:37:21"" user=""ndivhuwog"" apply=""False"" css=""C:\Documents and Settings\ndiv'"</definedName>
    <definedName name="_AMO_ContentDefinition_825207699.1" hidden="1">"'huwog.000\Application Data\SAS\BI Clients\Styles\Copy  of cpi (Ndivhu).css"" range=""Summary_Tables_12"" auto=""False"" xTime=""00:00:00.4200000"" rTime=""00:00:00.6900000"" bgnew=""False"" nFmt=""False"" grphSet=""False"" imgY=""0"" imgX=""0""&gt;_x000D_
  &lt;f'"</definedName>
    <definedName name="_AMO_ContentDefinition_825207699.2" hidden="1">"'iles&gt;C:\Users\ndivhuwog\Documents\My SAS Files\Add-In for Microsoft Office\_SOA_Summary_Tables_630968452\main.srx&lt;/files&gt;_x000D_
  &lt;parents /&gt;_x000D_
  &lt;children /&gt;_x000D_
  &lt;param n=""TaskID"" v=""D3932E3A-4FEE-43DF-956C-A605AC9AF3E7"" /&gt;_x000D_
  &lt;param n=""DisplayName"" '"</definedName>
    <definedName name="_AMO_ContentDefinition_825207699.3" hidden="1">"'v=""Summary Tables"" /&gt;_x000D_
  &lt;param n=""DisplayType"" v=""Task"" /&gt;_x000D_
  &lt;param n=""RawValues"" v=""True"" /&gt;_x000D_
  &lt;param n=""AMO_Version"" v=""5.1"" /&gt;_x000D_
  &lt;param n=""ServerName"" v=""SASApp"" /&gt;_x000D_
  &lt;param n=""AMO_Template"" v="""" /&gt;_x000D_
  &lt;param n=""UseDa'"</definedName>
    <definedName name="_AMO_ContentDefinition_825207699.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825207699.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825207699.6" hidden="1">"'4&amp;quot; /&amp;gt;"" /&gt;_x000D_
  &lt;param n=""CredKey"" v=""TABLE3_4&amp;#x1;SASApp&amp;#x1;LFSR Tabulation Datasets"" /&gt;_x000D_
  &lt;param n=""ClassName"" v=""SAS.OfficeAddin.Task"" /&gt;_x000D_
  &lt;param n=""XlNative"" v=""False"" /&gt;_x000D_
  &lt;param n=""UnselectedIds"" v="""" /&gt;_x000D_
  &lt;param n'"</definedName>
    <definedName name="_AMO_ContentDefinition_825207699.7" hidden="1">"'=""_ROM_Version_"" v=""1.2"" /&gt;_x000D_
  &lt;param n=""_ROM_Application_"" v=""ODS"" /&gt;_x000D_
  &lt;param n=""_ROM_AppVersion_"" v=""9.2"" /&gt;_x000D_
  &lt;param n=""maxReportCols"" v=""13"" /&gt;_x000D_
  &lt;fids n=""main.srx"" v=""0"" /&gt;_x000D_
  &lt;ExcelXMLOptions AdjColWidths=""True"" RowOp'"</definedName>
    <definedName name="_AMO_ContentDefinition_825207699.8" hidden="1">"'t=""InsertEntire"" ColOpt=""InsertCells"" /&gt;_x000D_
&lt;/ContentDefinition&gt;'"</definedName>
    <definedName name="_AMO_ContentDefinition_921006515" hidden="1">"'Partitions:9'"</definedName>
    <definedName name="_AMO_ContentDefinition_921006515.0" hidden="1">"'&lt;ContentDefinition name=""Summary Tables"" rsid=""921006515"" type=""Task"" format=""ReportXml"" imgfmt=""ActiveX"" created=""02/14/2014 14:55:42"" modifed=""02/28/2014 13:11:34"" user=""ndivhuwog"" apply=""False"" css=""C:\Program Files\SASHome\SASAd'"</definedName>
    <definedName name="_AMO_ContentDefinition_921006515.1" hidden="1">"'dinforMicrosoftOffice\5.1\Styles\AMODefault.css"" range=""Summary_Tables_47"" auto=""False"" xTime=""00:00:00.3940000"" rTime=""00:00:00.5840000"" bgnew=""False"" nFmt=""False"" grphSet=""False"" imgY=""0"" imgX=""0""&gt;_x000D_
  &lt;files&gt;C:\Users\ndivhuwog\Doc'"</definedName>
    <definedName name="_AMO_ContentDefinition_921006515.2" hidden="1">"'uments\My SAS Files\Add-In for Microsoft Office\_SOA_Summary_Tables_531212199\main.srx&lt;/files&gt;_x000D_
  &lt;parents /&gt;_x000D_
  &lt;children /&gt;_x000D_
  &lt;param n=""TaskID"" v=""D3932E3A-4FEE-43DF-956C-A605AC9AF3E7"" /&gt;_x000D_
  &lt;param n=""DisplayName"" v=""Summary Tables"" /&gt;_x000D_
  &lt;'"</definedName>
    <definedName name="_AMO_ContentDefinition_921006515.3" hidden="1">"'param n=""DisplayType"" v=""Task"" /&gt;_x000D_
  &lt;param n=""RawValues"" v=""True"" /&gt;_x000D_
  &lt;param n=""AMO_Version"" v=""5.1"" /&gt;_x000D_
  &lt;param n=""ServerName"" v=""SASApp"" /&gt;_x000D_
  &lt;param n=""AMO_Template"" v="""" /&gt;_x000D_
  &lt;param n=""UseDataConstraints"" v=""False"" /&gt;'"</definedName>
    <definedName name="_AMO_ContentDefinition_921006515.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921006515.5" hidden="1">"'&amp;amp;quot;1.0&amp;amp;quot; encoding=&amp;amp;quot;utf-16&amp;amp;quot;?&amp;amp;gt;&amp;amp;lt;FilterTree&amp;amp;gt;&amp;amp;lt;TreeRoot /&amp;amp;gt;&amp;amp;lt;/FilterTree&amp;amp;gt;&amp;quot; ColSelFlg=&amp;quot;0&amp;quot; Name=&amp;quot;TABLE2&amp;quot; /&amp;gt;"" /&gt;_x000D_
  &lt;param n=""CredKey"" v=""TABLE2&amp;#x1'"</definedName>
    <definedName name="_AMO_ContentDefinition_921006515.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921006515.7" hidden="1">"'ion_"" v=""ODS"" /&gt;_x000D_
  &lt;param n=""_ROM_AppVersion_"" v=""9.2"" /&gt;_x000D_
  &lt;param n=""maxReportCols"" v=""13"" /&gt;_x000D_
  &lt;fids n=""main.srx"" v=""0"" /&gt;_x000D_
  &lt;ExcelXMLOptions AdjColWidths=""True"" RowOpt=""InsertEntire"" ColOpt=""InsertCells"" /&gt;_x000D_'"</definedName>
    <definedName name="_AMO_ContentDefinition_921006515.8" hidden="1">"'
&lt;/ContentDefinition&gt;'"</definedName>
    <definedName name="_AMO_ContentDefinition_991905274" hidden="1">"'Partitions:9'"</definedName>
    <definedName name="_AMO_ContentDefinition_991905274.0" hidden="1">"'&lt;ContentDefinition name=""Summary Tables"" rsid=""991905274"" type=""Task"" format=""ReportXml"" imgfmt=""ACTXIMG"" created=""04/28/2009 15:42:39"" modifed=""02/28/2014 13:30:39"" user=""ndivhuwog"" apply=""False"" css=""C:\Documents and Settings\ndiv'"</definedName>
    <definedName name="_AMO_ContentDefinition_991905274.1" hidden="1">"'huwog.000\Application Data\SAS\BI Clients\Styles\Copy  of cpi (Ndivhu).css"" range=""Summary_Tables_6"" auto=""False"" xTime=""00:00:00.4380000"" rTime=""00:00:00.7030000"" bgnew=""False"" nFmt=""False"" grphSet=""False"" imgY=""0"" imgX=""0""&gt;_x000D_
  &lt;fi'"</definedName>
    <definedName name="_AMO_ContentDefinition_991905274.2" hidden="1">"'les&gt;C:\Users\ndivhuwog\Documents\My SAS Files\Add-In for Microsoft Office\_SOA_Summary_Tables_851031770\main.srx&lt;/files&gt;_x000D_
  &lt;parents /&gt;_x000D_
  &lt;children /&gt;_x000D_
  &lt;param n=""TaskID"" v=""D3932E3A-4FEE-43DF-956C-A605AC9AF3E7"" /&gt;_x000D_
  &lt;param n=""DisplayName"" v'"</definedName>
    <definedName name="_AMO_ContentDefinition_991905274.3" hidden="1">"'=""Summary Tables"" /&gt;_x000D_
  &lt;param n=""DisplayType"" v=""Task"" /&gt;_x000D_
  &lt;param n=""RawValues"" v=""True"" /&gt;_x000D_
  &lt;param n=""AMO_Version"" v=""5.1"" /&gt;_x000D_
  &lt;param n=""ServerName"" v=""SASApp"" /&gt;_x000D_
  &lt;param n=""AMO_Template"" v="""" /&gt;_x000D_
  &lt;param n=""UseDat'"</definedName>
    <definedName name="_AMO_ContentDefinition_991905274.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991905274.5" hidden="1">"'S=&amp;quot;&amp;amp;lt;?xml version=&amp;amp;quot;1.0&amp;amp;quot; encoding=&amp;amp;quot;utf-16&amp;amp;quot;?&amp;amp;gt;&amp;amp;lt;FilterTree&amp;amp;gt;&amp;amp;lt;TreeRoot /&amp;amp;gt;&amp;amp;lt;/FilterTree&amp;amp;gt;&amp;quot; UseLbls=&amp;quot;true&amp;quot; ColSelFlg=&amp;quot;0&amp;quot; Name=&amp;quot;TABLE3_1'"</definedName>
    <definedName name="_AMO_ContentDefinition_991905274.6" hidden="1">"'&amp;quot; /&amp;gt;"" /&gt;_x000D_
  &lt;param n=""CredKey"" v=""TABLE3_1&amp;#x1;SASApp&amp;#x1;LFSR Tabulation Datasets"" /&gt;_x000D_
  &lt;param n=""ClassName"" v=""SAS.OfficeAddin.Task"" /&gt;_x000D_
  &lt;param n=""XlNative"" v=""False"" /&gt;_x000D_
  &lt;param n=""UnselectedIds"" v="""" /&gt;_x000D_
  &lt;param n='"</definedName>
    <definedName name="_AMO_ContentDefinition_991905274.7" hidden="1">"'""_ROM_Version_"" v=""1.2"" /&gt;_x000D_
  &lt;param n=""_ROM_Application_"" v=""ODS"" /&gt;_x000D_
  &lt;param n=""_ROM_AppVersion_"" v=""9.2"" /&gt;_x000D_
  &lt;param n=""maxReportCols"" v=""13"" /&gt;_x000D_
  &lt;fids n=""main.srx"" v=""0"" /&gt;_x000D_
  &lt;ExcelXMLOptions AdjColWidths=""True"" RowOp'"</definedName>
    <definedName name="_AMO_ContentDefinition_991905274.8" hidden="1">"'t=""InsertEntire"" ColOpt=""InsertCells"" /&gt;_x000D_
&lt;/ContentDefinition&gt;'"</definedName>
    <definedName name="_AMO_ContentLocation_104386094_ROM_F0.SEC2.Tabulate_1.SEC1.BDY.Cross_tabular_summary_report_Table_1" hidden="1">"'Partitions:2'"</definedName>
    <definedName name="_AMO_ContentLocation_104386094_ROM_F0.SEC2.Tabulate_1.SEC1.BDY.Cross_tabular_summary_report_Table_1.0" hidden="1">"'&lt;ContentLocation path=""F0.SEC2.Tabulate_1.SEC1.BDY.Cross_tabular_summary_report_Table_1"" rsid=""104386094"" tag=""ROM"" fid=""0""&gt;_x000D_
  &lt;param n=""_NumRows"" v=""53"" /&gt;_x000D_
  &lt;param n=""_NumCols"" v=""13"" /&gt;_x000D_
  &lt;param n=""tableSig"" v=""R:R=53:C=13:FCR'"</definedName>
    <definedName name="_AMO_ContentLocation_104386094_ROM_F0.SEC2.Tabulate_1.SEC1.BDY.Cross_tabular_summary_report_Table_1.1" hidden="1">"'=4:FCC=2:RSP.1=1,H,13:RSP.2=1,V,2"" /&gt;_x000D_
  &lt;param n=""leftMargin"" v=""0"" /&gt;_x000D_
&lt;/ContentLocation&gt;'"</definedName>
    <definedName name="_AMO_ContentLocation_112461039_ROM_F0.SEC2.Tabulate_1.SEC1.BDY.Cross_tabular_summary_report_Table_1" hidden="1">"'Partitions:2'"</definedName>
    <definedName name="_AMO_ContentLocation_112461039_ROM_F0.SEC2.Tabulate_1.SEC1.BDY.Cross_tabular_summary_report_Table_1.0" hidden="1">"'&lt;ContentLocation path=""F0.SEC2.Tabulate_1.SEC1.BDY.Cross_tabular_summary_report_Table_1"" rsid=""112461039"" tag=""ROM"" fid=""0""&gt;_x000D_
  &lt;param n=""_NumRows"" v=""53"" /&gt;_x000D_
  &lt;param n=""_NumCols"" v=""13"" /&gt;_x000D_
  &lt;param n=""tableSig"" v=""R:R=53:C=13:FCR'"</definedName>
    <definedName name="_AMO_ContentLocation_112461039_ROM_F0.SEC2.Tabulate_1.SEC1.BDY.Cross_tabular_summary_report_Table_1.1" hidden="1">"'=4:FCC=2:RSP.1=1,H,13:RSP.2=1,V,2"" /&gt;_x000D_
  &lt;param n=""leftMargin"" v=""0"" /&gt;_x000D_
&lt;/ContentLocation&gt;'"</definedName>
    <definedName name="_AMO_ContentLocation_15410102_ROM_F0.SEC2.Tabulate_1.SEC1.BDY.Cross_tabular_summary_report_Table_1" hidden="1">"'Partitions:2'"</definedName>
    <definedName name="_AMO_ContentLocation_15410102_ROM_F0.SEC2.Tabulate_1.SEC1.BDY.Cross_tabular_summary_report_Table_1.0" hidden="1">"'&lt;ContentLocation path=""F0.SEC2.Tabulate_1.SEC1.BDY.Cross_tabular_summary_report_Table_1"" rsid=""15410102"" tag=""ROM"" fid=""0""&gt;_x000D_
  &lt;param n=""_NumRows"" v=""48"" /&gt;_x000D_
  &lt;param n=""_NumCols"" v=""10"" /&gt;_x000D_
  &lt;param n=""tableSig"" v=""R:R=48:C=10:FCR='"</definedName>
    <definedName name="_AMO_ContentLocation_15410102_ROM_F0.SEC2.Tabulate_1.SEC1.BDY.Cross_tabular_summary_report_Table_1.1" hidden="1">"'4:FCC=3:RSP.1=1,H,10:RSP.2=1,H,2;1,V,2"" /&gt;_x000D_
  &lt;param n=""leftMargin"" v=""0"" /&gt;_x000D_
&lt;/ContentLocation&gt;'"</definedName>
    <definedName name="_AMO_ContentLocation_205779628_ROM_F0.SEC2.Tabulate_1.SEC1.BDY.Cross_tabular_summary_report_Table_1" hidden="1">"'Partitions:2'"</definedName>
    <definedName name="_AMO_ContentLocation_205779628_ROM_F0.SEC2.Tabulate_1.SEC1.BDY.Cross_tabular_summary_report_Table_1.0" hidden="1">"'&lt;ContentLocation path=""F0.SEC2.Tabulate_1.SEC1.BDY.Cross_tabular_summary_report_Table_1"" rsid=""205779628"" tag=""ROM"" fid=""0""&gt;_x000D_
  &lt;param n=""_NumRows"" v=""52"" /&gt;_x000D_
  &lt;param n=""_NumCols"" v=""14"" /&gt;_x000D_
  &lt;param n=""tableSig"" v=""R:R=52:C=14:FCR'"</definedName>
    <definedName name="_AMO_ContentLocation_205779628_ROM_F0.SEC2.Tabulate_1.SEC1.BDY.Cross_tabular_summary_report_Table_1.1" hidden="1">"'=4:FCC=2:RSP.1=1,H,14:RSP.2=1,V,2;14,V,2"" /&gt;_x000D_
  &lt;param n=""leftMargin"" v=""0"" /&gt;_x000D_
&lt;/ContentLocation&gt;'"</definedName>
    <definedName name="_AMO_ContentLocation_222545728_ROM_F0.SEC2.Tabulate_1.SEC1.BDY.Cross_tabular_summary_report_Table_1" hidden="1">"'Partitions:2'"</definedName>
    <definedName name="_AMO_ContentLocation_222545728_ROM_F0.SEC2.Tabulate_1.SEC1.BDY.Cross_tabular_summary_report_Table_1.0" hidden="1">"'&lt;ContentLocation path=""F0.SEC2.Tabulate_1.SEC1.BDY.Cross_tabular_summary_report_Table_1"" rsid=""222545728"" tag=""ROM"" fid=""0""&gt;_x000D_
  &lt;param n=""_NumRows"" v=""63"" /&gt;_x000D_
  &lt;param n=""_NumCols"" v=""13"" /&gt;_x000D_
  &lt;param n=""tableSig"" v=""R:R=63:C=13:FCR'"</definedName>
    <definedName name="_AMO_ContentLocation_222545728_ROM_F0.SEC2.Tabulate_1.SEC1.BDY.Cross_tabular_summary_report_Table_1.1" hidden="1">"'=4:FCC=2:RSP.1=1,H,13:RSP.2=1,V,2"" /&gt;_x000D_
  &lt;param n=""leftMargin"" v=""0"" /&gt;_x000D_
&lt;/ContentLocation&gt;'"</definedName>
    <definedName name="_AMO_ContentLocation_225272241_ROM_F0.SEC2.Tabulate_1.SEC1.BDY.Cross_tabular_summary_report_Table_1" hidden="1">"'Partitions:2'"</definedName>
    <definedName name="_AMO_ContentLocation_225272241_ROM_F0.SEC2.Tabulate_1.SEC1.BDY.Cross_tabular_summary_report_Table_1.0" hidden="1">"'&lt;ContentLocation path=""F0.SEC2.Tabulate_1.SEC1.BDY.Cross_tabular_summary_report_Table_1"" rsid=""225272241"" tag=""ROM"" fid=""0""&gt;_x000D_
  &lt;param n=""_NumRows"" v=""39"" /&gt;_x000D_
  &lt;param n=""_NumCols"" v=""13"" /&gt;_x000D_
  &lt;param n=""tableSig"" v=""R:R=39:C=13:FCR'"</definedName>
    <definedName name="_AMO_ContentLocation_225272241_ROM_F0.SEC2.Tabulate_1.SEC1.BDY.Cross_tabular_summary_report_Table_1.1" hidden="1">"'=4:FCC=2:RSP.1=1,H,13:RSP.2=1,V,2"" /&gt;_x000D_
  &lt;param n=""leftMargin"" v=""0"" /&gt;_x000D_
&lt;/ContentLocation&gt;'"</definedName>
    <definedName name="_AMO_ContentLocation_242095788_ROM_F0.SEC2.Tabulate_1.SEC1.BDY.Cross_tabular_summary_report_Table_1" hidden="1">"'Partitions:2'"</definedName>
    <definedName name="_AMO_ContentLocation_242095788_ROM_F0.SEC2.Tabulate_1.SEC1.BDY.Cross_tabular_summary_report_Table_1.0" hidden="1">"'&lt;ContentLocation path=""F0.SEC2.Tabulate_1.SEC1.BDY.Cross_tabular_summary_report_Table_1"" rsid=""242095788"" tag=""ROM"" fid=""0""&gt;_x000D_
  &lt;param n=""_NumRows"" v=""26"" /&gt;_x000D_
  &lt;param n=""_NumCols"" v=""13"" /&gt;_x000D_
  &lt;param n=""tableSig"" v=""R:R=26:C=13:FCR'"</definedName>
    <definedName name="_AMO_ContentLocation_242095788_ROM_F0.SEC2.Tabulate_1.SEC1.BDY.Cross_tabular_summary_report_Table_1.1" hidden="1">"'=3:FCC=2:RSP.1=1,H,13"" /&gt;_x000D_
  &lt;param n=""leftMargin"" v=""0"" /&gt;_x000D_
&lt;/ContentLocation&gt;'"</definedName>
    <definedName name="_AMO_ContentLocation_247862661_ROM_F0.SEC2.Tabulate_1.SEC1.BDY.Cross_tabular_summary_report_Table_1" hidden="1">"'Partitions:2'"</definedName>
    <definedName name="_AMO_ContentLocation_247862661_ROM_F0.SEC2.Tabulate_1.SEC1.BDY.Cross_tabular_summary_report_Table_1.0" hidden="1">"'&lt;ContentLocation path=""F0.SEC2.Tabulate_1.SEC1.BDY.Cross_tabular_summary_report_Table_1"" rsid=""247862661"" tag=""ROM"" fid=""0""&gt;_x000D_
  &lt;param n=""_NumRows"" v=""40"" /&gt;_x000D_
  &lt;param n=""_NumCols"" v=""13"" /&gt;_x000D_
  &lt;param n=""tableSig"" v=""R:R=40:C=13:FCR'"</definedName>
    <definedName name="_AMO_ContentLocation_247862661_ROM_F0.SEC2.Tabulate_1.SEC1.BDY.Cross_tabular_summary_report_Table_1.1" hidden="1">"'=4:FCC=2:RSP.1=1,H,13:RSP.2=1,V,2"" /&gt;_x000D_
  &lt;param n=""leftMargin"" v=""0"" /&gt;_x000D_
&lt;/ContentLocation&gt;'"</definedName>
    <definedName name="_AMO_ContentLocation_30194841_ROM_F0.SEC2.Tabulate_1.SEC1.BDY.Cross_tabular_summary_report_Table_1" hidden="1">"'Partitions:2'"</definedName>
    <definedName name="_AMO_ContentLocation_30194841_ROM_F0.SEC2.Tabulate_1.SEC1.BDY.Cross_tabular_summary_report_Table_1.0" hidden="1">"'&lt;ContentLocation path=""F0.SEC2.Tabulate_1.SEC1.BDY.Cross_tabular_summary_report_Table_1"" rsid=""30194841"" tag=""ROM"" fid=""0""&gt;_x000D_
  &lt;param n=""_NumRows"" v=""55"" /&gt;_x000D_
  &lt;param n=""_NumCols"" v=""13"" /&gt;_x000D_
  &lt;param n=""tableSig"" v=""R:R=55:C=13:FCR='"</definedName>
    <definedName name="_AMO_ContentLocation_30194841_ROM_F0.SEC2.Tabulate_1.SEC1.BDY.Cross_tabular_summary_report_Table_1.1" hidden="1">"'4:FCC=2:RSP.1=1,H,13:RSP.2=1,V,2"" /&gt;_x000D_
  &lt;param n=""leftMargin"" v=""0"" /&gt;_x000D_
&lt;/ContentLocation&gt;'"</definedName>
    <definedName name="_AMO_ContentLocation_37461558_ROM_F0.SEC2.Tabulate_1.SEC1.BDY.Cross_tabular_summary_report_Table_1" hidden="1">"'Partitions:2'"</definedName>
    <definedName name="_AMO_ContentLocation_37461558_ROM_F0.SEC2.Tabulate_1.SEC1.BDY.Cross_tabular_summary_report_Table_1.0" hidden="1">"'&lt;ContentLocation path=""F0.SEC2.Tabulate_1.SEC1.BDY.Cross_tabular_summary_report_Table_1"" rsid=""37461558"" tag=""ROM"" fid=""0""&gt;_x000D_
  &lt;param n=""_NumRows"" v=""45"" /&gt;_x000D_
  &lt;param n=""_NumCols"" v=""13"" /&gt;_x000D_
  &lt;param n=""tableSig"" v=""R:R=45:C=13:FCR='"</definedName>
    <definedName name="_AMO_ContentLocation_37461558_ROM_F0.SEC2.Tabulate_1.SEC1.BDY.Cross_tabular_summary_report_Table_1.1" hidden="1">"'4:FCC=2:RSP.1=1,H,13:RSP.2=1,V,2"" /&gt;_x000D_
  &lt;param n=""leftMargin"" v=""0"" /&gt;_x000D_
&lt;/ContentLocation&gt;'"</definedName>
    <definedName name="_AMO_ContentLocation_390982613_ROM_F0.SEC2.Tabulate_1.SEC1.BDY.Cross_tabular_summary_report_Table_1" hidden="1">"'Partitions:2'"</definedName>
    <definedName name="_AMO_ContentLocation_390982613_ROM_F0.SEC2.Tabulate_1.SEC1.BDY.Cross_tabular_summary_report_Table_1.0" hidden="1">"'&lt;ContentLocation path=""F0.SEC2.Tabulate_1.SEC1.BDY.Cross_tabular_summary_report_Table_1"" rsid=""390982613"" tag=""ROM"" fid=""0""&gt;_x000D_
  &lt;param n=""_NumRows"" v=""45"" /&gt;_x000D_
  &lt;param n=""_NumCols"" v=""13"" /&gt;_x000D_
  &lt;param n=""tableSig"" v=""R:R=45:C=13:FCR'"</definedName>
    <definedName name="_AMO_ContentLocation_390982613_ROM_F0.SEC2.Tabulate_1.SEC1.BDY.Cross_tabular_summary_report_Table_1.1" hidden="1">"'=4:FCC=2:RSP.1=1,H,13:RSP.2=1,V,2"" /&gt;_x000D_
  &lt;param n=""leftMargin"" v=""0"" /&gt;_x000D_
&lt;/ContentLocation&gt;'"</definedName>
    <definedName name="_AMO_ContentLocation_398675413_ROM_F0.SEC2.Tabulate_1.SEC1.BDY.Cross_tabular_summary_report_Table_1" hidden="1">"'Partitions:2'"</definedName>
    <definedName name="_AMO_ContentLocation_398675413_ROM_F0.SEC2.Tabulate_1.SEC1.BDY.Cross_tabular_summary_report_Table_1.0" hidden="1">"'&lt;ContentLocation path=""F0.SEC2.Tabulate_1.SEC1.BDY.Cross_tabular_summary_report_Table_1"" rsid=""398675413"" tag=""ROM"" fid=""0""&gt;_x000D_
  &lt;param n=""_NumRows"" v=""18"" /&gt;_x000D_
  &lt;param n=""_NumCols"" v=""13"" /&gt;_x000D_
  &lt;param n=""tableSig"" v=""R:R=18:C=13:FCR'"</definedName>
    <definedName name="_AMO_ContentLocation_398675413_ROM_F0.SEC2.Tabulate_1.SEC1.BDY.Cross_tabular_summary_report_Table_1.1" hidden="1">"'=4:FCC=2:RSP.1=1,H,13:RSP.2=1,V,2"" /&gt;_x000D_
  &lt;param n=""leftMargin"" v=""0"" /&gt;_x000D_
&lt;/ContentLocation&gt;'"</definedName>
    <definedName name="_AMO_ContentLocation_416626384_ROM_F0.SEC2.Tabulate_1.SEC1.BDY.Cross_tabular_summary_report_Table_1" hidden="1">"'Partitions:2'"</definedName>
    <definedName name="_AMO_ContentLocation_416626384_ROM_F0.SEC2.Tabulate_1.SEC1.BDY.Cross_tabular_summary_report_Table_1.0" hidden="1">"'&lt;ContentLocation path=""F0.SEC2.Tabulate_1.SEC1.BDY.Cross_tabular_summary_report_Table_1"" rsid=""416626384"" tag=""ROM"" fid=""0""&gt;_x000D_
  &lt;param n=""_NumRows"" v=""53"" /&gt;_x000D_
  &lt;param n=""_NumCols"" v=""13"" /&gt;_x000D_
  &lt;param n=""tableSig"" v=""R:R=53:C=13:FCR'"</definedName>
    <definedName name="_AMO_ContentLocation_416626384_ROM_F0.SEC2.Tabulate_1.SEC1.BDY.Cross_tabular_summary_report_Table_1.1" hidden="1">"'=4:FCC=2:RSP.1=1,H,13:RSP.2=1,V,2"" /&gt;_x000D_
  &lt;param n=""leftMargin"" v=""0"" /&gt;_x000D_
&lt;/ContentLocation&gt;'"</definedName>
    <definedName name="_AMO_ContentLocation_472893794_ROM_F0.SEC2.Tabulate_1.SEC1.BDY.Cross_tabular_summary_report_Table_1" hidden="1">"'Partitions:2'"</definedName>
    <definedName name="_AMO_ContentLocation_472893794_ROM_F0.SEC2.Tabulate_1.SEC1.BDY.Cross_tabular_summary_report_Table_1.0" hidden="1">"'&lt;ContentLocation path=""F0.SEC2.Tabulate_1.SEC1.BDY.Cross_tabular_summary_report_Table_1"" rsid=""472893794"" tag=""ROM"" fid=""0""&gt;_x000D_
  &lt;param n=""_NumRows"" v=""21"" /&gt;_x000D_
  &lt;param n=""_NumCols"" v=""13"" /&gt;_x000D_
  &lt;param n=""tableSig"" v=""R:R=21:C=13:FCR'"</definedName>
    <definedName name="_AMO_ContentLocation_472893794_ROM_F0.SEC2.Tabulate_1.SEC1.BDY.Cross_tabular_summary_report_Table_1.1" hidden="1">"'=4:FCC=2:RSP.1=1,H,13:RSP.2=1,V,2"" /&gt;_x000D_
  &lt;param n=""leftMargin"" v=""0"" /&gt;_x000D_
&lt;/ContentLocation&gt;'"</definedName>
    <definedName name="_AMO_ContentLocation_539372770_ROM_F0.SEC2.Tabulate_1.SEC1.BDY.Cross_tabular_summary_report_Table_1" hidden="1">"'Partitions:2'"</definedName>
    <definedName name="_AMO_ContentLocation_539372770_ROM_F0.SEC2.Tabulate_1.SEC1.BDY.Cross_tabular_summary_report_Table_1.0" hidden="1">"'&lt;ContentLocation path=""F0.SEC2.Tabulate_1.SEC1.BDY.Cross_tabular_summary_report_Table_1"" rsid=""539372770"" tag=""ROM"" fid=""0""&gt;_x000D_
  &lt;param n=""_NumRows"" v=""63"" /&gt;_x000D_
  &lt;param n=""_NumCols"" v=""13"" /&gt;_x000D_
  &lt;param n=""tableSig"" v=""R:R=63:C=13:FCR'"</definedName>
    <definedName name="_AMO_ContentLocation_539372770_ROM_F0.SEC2.Tabulate_1.SEC1.BDY.Cross_tabular_summary_report_Table_1.1" hidden="1">"'=4:FCC=2:RSP.1=1,H,13:RSP.2=1,V,2"" /&gt;_x000D_
  &lt;param n=""leftMargin"" v=""0"" /&gt;_x000D_
&lt;/ContentLocation&gt;'"</definedName>
    <definedName name="_AMO_ContentLocation_572615156_ROM_F0.SEC2.Tabulate_1.SEC1.BDY.Cross_tabular_summary_report_Table_1" hidden="1">"'Partitions:2'"</definedName>
    <definedName name="_AMO_ContentLocation_572615156_ROM_F0.SEC2.Tabulate_1.SEC1.BDY.Cross_tabular_summary_report_Table_1.0" hidden="1">"'&lt;ContentLocation path=""F0.SEC2.Tabulate_1.SEC1.BDY.Cross_tabular_summary_report_Table_1"" rsid=""572615156"" tag=""ROM"" fid=""0""&gt;_x000D_
  &lt;param n=""_NumRows"" v=""21"" /&gt;_x000D_
  &lt;param n=""_NumCols"" v=""13"" /&gt;_x000D_
  &lt;param n=""tableSig"" v=""R:R=21:C=13:FCR'"</definedName>
    <definedName name="_AMO_ContentLocation_572615156_ROM_F0.SEC2.Tabulate_1.SEC1.BDY.Cross_tabular_summary_report_Table_1.1" hidden="1">"'=4:FCC=2:RSP.1=1,H,13:RSP.2=1,V,2"" /&gt;_x000D_
  &lt;param n=""leftMargin"" v=""0"" /&gt;_x000D_
&lt;/ContentLocation&gt;'"</definedName>
    <definedName name="_AMO_ContentLocation_576762798_ROM_F0.SEC2.Tabulate_1.SEC1.BDY.Cross_tabular_summary_report_Table_1" hidden="1">"'Partitions:2'"</definedName>
    <definedName name="_AMO_ContentLocation_576762798_ROM_F0.SEC2.Tabulate_1.SEC1.BDY.Cross_tabular_summary_report_Table_1.0" hidden="1">"'&lt;ContentLocation path=""F0.SEC2.Tabulate_1.SEC1.BDY.Cross_tabular_summary_report_Table_1"" rsid=""576762798"" tag=""ROM"" fid=""0""&gt;_x000D_
  &lt;param n=""_NumRows"" v=""36"" /&gt;_x000D_
  &lt;param n=""_NumCols"" v=""13"" /&gt;_x000D_
  &lt;param n=""tableSig"" v=""R:R=36:C=13:FCR'"</definedName>
    <definedName name="_AMO_ContentLocation_576762798_ROM_F0.SEC2.Tabulate_1.SEC1.BDY.Cross_tabular_summary_report_Table_1.1" hidden="1">"'=4:FCC=2:RSP.1=1,H,13:RSP.2=1,V,2"" /&gt;_x000D_
  &lt;param n=""leftMargin"" v=""0"" /&gt;_x000D_
&lt;/ContentLocation&gt;'"</definedName>
    <definedName name="_AMO_ContentLocation_576788546_ROM_F0.SEC2.Tabulate_1.SEC1.BDY.Cross_tabular_summary_report_Table_1" hidden="1">"'Partitions:2'"</definedName>
    <definedName name="_AMO_ContentLocation_576788546_ROM_F0.SEC2.Tabulate_1.SEC1.BDY.Cross_tabular_summary_report_Table_1.0" hidden="1">"'&lt;ContentLocation path=""F0.SEC2.Tabulate_1.SEC1.BDY.Cross_tabular_summary_report_Table_1"" rsid=""576788546"" tag=""ROM"" fid=""0""&gt;_x000D_
  &lt;param n=""_NumRows"" v=""63"" /&gt;_x000D_
  &lt;param n=""_NumCols"" v=""13"" /&gt;_x000D_
  &lt;param n=""tableSig"" v=""R:R=63:C=13:FCR'"</definedName>
    <definedName name="_AMO_ContentLocation_576788546_ROM_F0.SEC2.Tabulate_1.SEC1.BDY.Cross_tabular_summary_report_Table_1.1" hidden="1">"'=4:FCC=2:RSP.1=1,H,13:RSP.2=1,V,2"" /&gt;_x000D_
  &lt;param n=""leftMargin"" v=""0"" /&gt;_x000D_
&lt;/ContentLocation&gt;'"</definedName>
    <definedName name="_AMO_ContentLocation_587946619_ROM_F0.SEC2.Tabulate_1.SEC1.BDY.Cross_tabular_summary_report_Table_1" hidden="1">"'Partitions:2'"</definedName>
    <definedName name="_AMO_ContentLocation_587946619_ROM_F0.SEC2.Tabulate_1.SEC1.BDY.Cross_tabular_summary_report_Table_1.0" hidden="1">"'&lt;ContentLocation path=""F0.SEC2.Tabulate_1.SEC1.BDY.Cross_tabular_summary_report_Table_1"" rsid=""587946619"" tag=""ROM"" fid=""0""&gt;_x000D_
  &lt;param n=""_NumRows"" v=""53"" /&gt;_x000D_
  &lt;param n=""_NumCols"" v=""13"" /&gt;_x000D_
  &lt;param n=""tableSig"" v=""R:R=53:C=13:FCR'"</definedName>
    <definedName name="_AMO_ContentLocation_587946619_ROM_F0.SEC2.Tabulate_1.SEC1.BDY.Cross_tabular_summary_report_Table_1.1" hidden="1">"'=4:FCC=2:RSP.1=1,H,13:RSP.2=1,V,2"" /&gt;_x000D_
  &lt;param n=""leftMargin"" v=""0"" /&gt;_x000D_
&lt;/ContentLocation&gt;'"</definedName>
    <definedName name="_AMO_ContentLocation_617623402_ROM_F0.SEC2.Tabulate_1.SEC1.BDY.Cross_tabular_summary_report_Table_1" hidden="1">"'Partitions:2'"</definedName>
    <definedName name="_AMO_ContentLocation_617623402_ROM_F0.SEC2.Tabulate_1.SEC1.BDY.Cross_tabular_summary_report_Table_1.0" hidden="1">"'&lt;ContentLocation path=""F0.SEC2.Tabulate_1.SEC1.BDY.Cross_tabular_summary_report_Table_1"" rsid=""617623402"" tag=""ROM"" fid=""0""&gt;_x000D_
  &lt;param n=""_NumRows"" v=""53"" /&gt;_x000D_
  &lt;param n=""_NumCols"" v=""13"" /&gt;_x000D_
  &lt;param n=""tableSig"" v=""R:R=53:C=13:FCR'"</definedName>
    <definedName name="_AMO_ContentLocation_617623402_ROM_F0.SEC2.Tabulate_1.SEC1.BDY.Cross_tabular_summary_report_Table_1.1" hidden="1">"'=4:FCC=2:RSP.1=1,H,13:RSP.2=1,V,2"" /&gt;_x000D_
  &lt;param n=""leftMargin"" v=""0"" /&gt;_x000D_
&lt;/ContentLocation&gt;'"</definedName>
    <definedName name="_AMO_ContentLocation_621796666_ROM_F0.SEC2.Tabulate_1.SEC1.BDY.Cross_tabular_summary_report_Table_1" hidden="1">"'Partitions:2'"</definedName>
    <definedName name="_AMO_ContentLocation_621796666_ROM_F0.SEC2.Tabulate_1.SEC1.BDY.Cross_tabular_summary_report_Table_1.0" hidden="1">"'&lt;ContentLocation path=""F0.SEC2.Tabulate_1.SEC1.BDY.Cross_tabular_summary_report_Table_1"" rsid=""621796666"" tag=""ROM"" fid=""0""&gt;_x000D_
  &lt;param n=""_NumRows"" v=""49"" /&gt;_x000D_
  &lt;param n=""_NumCols"" v=""13"" /&gt;_x000D_
  &lt;param n=""tableSig"" v=""R:R=49:C=13:FCR'"</definedName>
    <definedName name="_AMO_ContentLocation_621796666_ROM_F0.SEC2.Tabulate_1.SEC1.BDY.Cross_tabular_summary_report_Table_1.1" hidden="1">"'=4:FCC=2:RSP.1=1,H,13:RSP.2=1,V,2"" /&gt;_x000D_
  &lt;param n=""leftMargin"" v=""0"" /&gt;_x000D_
&lt;/ContentLocation&gt;'"</definedName>
    <definedName name="_AMO_ContentLocation_65748969_ROM_F0.SEC2.Tabulate_1.SEC1.BDY.Cross_tabular_summary_report_Table_1" hidden="1">"'Partitions:2'"</definedName>
    <definedName name="_AMO_ContentLocation_65748969_ROM_F0.SEC2.Tabulate_1.SEC1.BDY.Cross_tabular_summary_report_Table_1.0" hidden="1">"'&lt;ContentLocation path=""F0.SEC2.Tabulate_1.SEC1.BDY.Cross_tabular_summary_report_Table_1"" rsid=""65748969"" tag=""ROM"" fid=""0""&gt;_x000D_
  &lt;param n=""_NumRows"" v=""53"" /&gt;_x000D_
  &lt;param n=""_NumCols"" v=""13"" /&gt;_x000D_
  &lt;param n=""tableSig"" v=""R:R=53:C=13:FCR='"</definedName>
    <definedName name="_AMO_ContentLocation_65748969_ROM_F0.SEC2.Tabulate_1.SEC1.BDY.Cross_tabular_summary_report_Table_1.1" hidden="1">"'4:FCC=2:RSP.1=1,H,13:RSP.2=1,V,2"" /&gt;_x000D_
  &lt;param n=""leftMargin"" v=""0"" /&gt;_x000D_
&lt;/ContentLocation&gt;'"</definedName>
    <definedName name="_AMO_ContentLocation_662231970_ROM_F0.SEC2.Tabulate_1.SEC1.BDY.Cross_tabular_summary_report_Table_1" hidden="1">"'Partitions:2'"</definedName>
    <definedName name="_AMO_ContentLocation_662231970_ROM_F0.SEC2.Tabulate_1.SEC1.BDY.Cross_tabular_summary_report_Table_1.0" hidden="1">"'&lt;ContentLocation path=""F0.SEC2.Tabulate_1.SEC1.BDY.Cross_tabular_summary_report_Table_1"" rsid=""662231970"" tag=""ROM"" fid=""0""&gt;_x000D_
  &lt;param n=""_NumRows"" v=""47"" /&gt;_x000D_
  &lt;param n=""_NumCols"" v=""10"" /&gt;_x000D_
  &lt;param n=""tableSig"" v=""R:R=47:C=10:FCR'"</definedName>
    <definedName name="_AMO_ContentLocation_662231970_ROM_F0.SEC2.Tabulate_1.SEC1.BDY.Cross_tabular_summary_report_Table_1.1" hidden="1">"'=3:FCC=3:RSP.1=1,H,10:RSP.2=1,H,2"" /&gt;_x000D_
  &lt;param n=""leftMargin"" v=""0"" /&gt;_x000D_
&lt;/ContentLocation&gt;'"</definedName>
    <definedName name="_AMO_ContentLocation_671486722_ROM_F0.SEC2.Tabulate_1.SEC1.BDY.Cross_tabular_summary_report_Table_1" hidden="1">"'Partitions:2'"</definedName>
    <definedName name="_AMO_ContentLocation_671486722_ROM_F0.SEC2.Tabulate_1.SEC1.BDY.Cross_tabular_summary_report_Table_1.0" hidden="1">"'&lt;ContentLocation path=""F0.SEC2.Tabulate_1.SEC1.BDY.Cross_tabular_summary_report_Table_1"" rsid=""671486722"" tag=""ROM"" fid=""0""&gt;_x000D_
  &lt;param n=""_NumRows"" v=""35"" /&gt;_x000D_
  &lt;param n=""_NumCols"" v=""14"" /&gt;_x000D_
  &lt;param n=""tableSig"" v=""R:R=35:C=14:FCR'"</definedName>
    <definedName name="_AMO_ContentLocation_671486722_ROM_F0.SEC2.Tabulate_1.SEC1.BDY.Cross_tabular_summary_report_Table_1.1" hidden="1">"'=4:FCC=2:RSP.1=1,H,14:RSP.2=1,V,2;14,V,2"" /&gt;_x000D_
  &lt;param n=""leftMargin"" v=""0"" /&gt;_x000D_
&lt;/ContentLocation&gt;'"</definedName>
    <definedName name="_AMO_ContentLocation_732119577_ROM_F0.SEC2.Tabulate_1.SEC1.BDY.Cross_tabular_summary_report_Table_1" hidden="1">"'Partitions:2'"</definedName>
    <definedName name="_AMO_ContentLocation_732119577_ROM_F0.SEC2.Tabulate_1.SEC1.BDY.Cross_tabular_summary_report_Table_1.0" hidden="1">"'&lt;ContentLocation path=""F0.SEC2.Tabulate_1.SEC1.BDY.Cross_tabular_summary_report_Table_1"" rsid=""732119577"" tag=""ROM"" fid=""0""&gt;_x000D_
  &lt;param n=""_NumRows"" v=""51"" /&gt;_x000D_
  &lt;param n=""_NumCols"" v=""14"" /&gt;_x000D_
  &lt;param n=""tableSig"" v=""R:R=51:C=14:FCR'"</definedName>
    <definedName name="_AMO_ContentLocation_732119577_ROM_F0.SEC2.Tabulate_1.SEC1.BDY.Cross_tabular_summary_report_Table_1.1" hidden="1">"'=4:FCC=2:RSP.1=1,H,14:RSP.2=1,V,2;14,V,2"" /&gt;_x000D_
  &lt;param n=""leftMargin"" v=""0"" /&gt;_x000D_
&lt;/ContentLocation&gt;'"</definedName>
    <definedName name="_AMO_ContentLocation_779436236_ROM_F0.SEC2.Tabulate_1.SEC1.BDY.Cross_tabular_summary_report_Table_1" hidden="1">"'Partitions:2'"</definedName>
    <definedName name="_AMO_ContentLocation_779436236_ROM_F0.SEC2.Tabulate_1.SEC1.BDY.Cross_tabular_summary_report_Table_1.0" hidden="1">"'&lt;ContentLocation path=""F0.SEC2.Tabulate_1.SEC1.BDY.Cross_tabular_summary_report_Table_1"" rsid=""779436236"" tag=""ROM"" fid=""0""&gt;_x000D_
  &lt;param n=""_NumRows"" v=""22"" /&gt;_x000D_
  &lt;param n=""_NumCols"" v=""13"" /&gt;_x000D_
  &lt;param n=""tableSig"" v=""R:R=22:C=13:FCR'"</definedName>
    <definedName name="_AMO_ContentLocation_779436236_ROM_F0.SEC2.Tabulate_1.SEC1.BDY.Cross_tabular_summary_report_Table_1.1" hidden="1">"'=4:FCC=2:RSP.1=1,H,13:RSP.2=1,V,2"" /&gt;_x000D_
  &lt;param n=""leftMargin"" v=""0"" /&gt;_x000D_
&lt;/ContentLocation&gt;'"</definedName>
    <definedName name="_AMO_ContentLocation_805804074_ROM_F0.SEC2.Tabulate_1.SEC1.BDY.Cross_tabular_summary_report_Table_1" hidden="1">"'Partitions:2'"</definedName>
    <definedName name="_AMO_ContentLocation_805804074_ROM_F0.SEC2.Tabulate_1.SEC1.BDY.Cross_tabular_summary_report_Table_1.0" hidden="1">"'&lt;ContentLocation path=""F0.SEC2.Tabulate_1.SEC1.BDY.Cross_tabular_summary_report_Table_1"" rsid=""805804074"" tag=""ROM"" fid=""0""&gt;_x000D_
  &lt;param n=""_NumRows"" v=""63"" /&gt;_x000D_
  &lt;param n=""_NumCols"" v=""13"" /&gt;_x000D_
  &lt;param n=""tableSig"" v=""R:R=63:C=13:FCR'"</definedName>
    <definedName name="_AMO_ContentLocation_805804074_ROM_F0.SEC2.Tabulate_1.SEC1.BDY.Cross_tabular_summary_report_Table_1.1" hidden="1">"'=4:FCC=2:RSP.1=1,H,13:RSP.2=1,V,2"" /&gt;_x000D_
  &lt;param n=""leftMargin"" v=""0"" /&gt;_x000D_
&lt;/ContentLocation&gt;'"</definedName>
    <definedName name="_AMO_ContentLocation_825207699_ROM_F0.SEC2.Tabulate_1.SEC1.BDY.Cross_tabular_summary_report_Table_1" hidden="1">"'Partitions:2'"</definedName>
    <definedName name="_AMO_ContentLocation_825207699_ROM_F0.SEC2.Tabulate_1.SEC1.BDY.Cross_tabular_summary_report_Table_1.0" hidden="1">"'&lt;ContentLocation path=""F0.SEC2.Tabulate_1.SEC1.BDY.Cross_tabular_summary_report_Table_1"" rsid=""825207699"" tag=""ROM"" fid=""0""&gt;_x000D_
  &lt;param n=""_NumRows"" v=""53"" /&gt;_x000D_
  &lt;param n=""_NumCols"" v=""13"" /&gt;_x000D_
  &lt;param n=""tableSig"" v=""R:R=53:C=13:FCR'"</definedName>
    <definedName name="_AMO_ContentLocation_825207699_ROM_F0.SEC2.Tabulate_1.SEC1.BDY.Cross_tabular_summary_report_Table_1.1" hidden="1">"'=4:FCC=2:RSP.1=1,H,13:RSP.2=1,V,2"" /&gt;_x000D_
  &lt;param n=""leftMargin"" v=""0"" /&gt;_x000D_
&lt;/ContentLocation&gt;'"</definedName>
    <definedName name="_AMO_ContentLocation_921006515_ROM_F0.SEC2.Tabulate_1.SEC1.BDY.Cross_tabular_summary_report_Table_1" hidden="1">"'Partitions:2'"</definedName>
    <definedName name="_AMO_ContentLocation_921006515_ROM_F0.SEC2.Tabulate_1.SEC1.BDY.Cross_tabular_summary_report_Table_1.0" hidden="1">"'&lt;ContentLocation path=""F0.SEC2.Tabulate_1.SEC1.BDY.Cross_tabular_summary_report_Table_1"" rsid=""921006515"" tag=""ROM"" fid=""0""&gt;_x000D_
  &lt;param n=""_NumRows"" v=""51"" /&gt;_x000D_
  &lt;param n=""_NumCols"" v=""13"" /&gt;_x000D_
  &lt;param n=""tableSig"" v=""R:R=51:C=13:FCR'"</definedName>
    <definedName name="_AMO_ContentLocation_921006515_ROM_F0.SEC2.Tabulate_1.SEC1.BDY.Cross_tabular_summary_report_Table_1.1" hidden="1">"'=4:FCC=2:RSP.1=1,H,13:RSP.2=1,V,2"" /&gt;_x000D_
  &lt;param n=""leftMargin"" v=""0"" /&gt;_x000D_
&lt;/ContentLocation&gt;'"</definedName>
    <definedName name="_AMO_ContentLocation_991905274_ROM_F0.SEC2.Tabulate_1.SEC1.BDY.Cross_tabular_summary_report_Table_1" hidden="1">"'Partitions:2'"</definedName>
    <definedName name="_AMO_ContentLocation_991905274_ROM_F0.SEC2.Tabulate_1.SEC1.BDY.Cross_tabular_summary_report_Table_1.0" hidden="1">"'&lt;ContentLocation path=""F0.SEC2.Tabulate_1.SEC1.BDY.Cross_tabular_summary_report_Table_1"" rsid=""991905274"" tag=""ROM"" fid=""0""&gt;_x000D_
  &lt;param n=""_NumRows"" v=""39"" /&gt;_x000D_
  &lt;param n=""_NumCols"" v=""13"" /&gt;_x000D_
  &lt;param n=""tableSig"" v=""R:R=39:C=13:FCR'"</definedName>
    <definedName name="_AMO_ContentLocation_991905274_ROM_F0.SEC2.Tabulate_1.SEC1.BDY.Cross_tabular_summary_report_Table_1.1" hidden="1">"'=4:FCC=2:RSP.1=1,H,13:RSP.2=1,V,2"" /&gt;_x000D_
  &lt;param n=""leftMargin"" v=""0"" /&gt;_x000D_
&lt;/ContentLocation&gt;'"</definedName>
    <definedName name="_AMO_RefreshMultipleList" hidden="1">"'Partitions:6'"</definedName>
    <definedName name="_AMO_RefreshMultipleList.0" hidden="1">"'&lt;Items&gt;_x000D_
  &lt;Item Id=""478191013"" Checked=""True"" /&gt;_x000D_
  &lt;Item Id=""991905274"" Checked=""True"" /&gt;_x000D_
  &lt;Item Id=""576762798"" Checked=""True"" /&gt;_x000D_
  &lt;Item Id=""617623402"" Checked=""True"" /&gt;_x000D_
  &lt;Item Id=""587946619"" Checked=""True"" /&gt;_x000D_
  &lt;Item I'"</definedName>
    <definedName name="_AMO_RefreshMultipleList.1" hidden="1">"'d=""825207699"" Checked=""True"" /&gt;_x000D_
  &lt;Item Id=""225272241"" Checked=""True"" /&gt;_x000D_
  &lt;Item Id=""671486722"" Checked=""True"" /&gt;_x000D_
  &lt;Item Id=""779436236"" Checked=""True"" /&gt;_x000D_
  &lt;Item Id=""390982613"" Checked=""True"" /&gt;_x000D_
  &lt;Item Id=""15410102"" Chec'"</definedName>
    <definedName name="_AMO_RefreshMultipleList.2" hidden="1">"'ked=""False"" /&gt;_x000D_
  &lt;Item Id=""74403347"" Checked=""True"" /&gt;_x000D_
  &lt;Item Id=""358847779"" Checked=""True"" /&gt;_x000D_
  &lt;Item Id=""176225830"" Checked=""True"" /&gt;_x000D_
  &lt;Item Id=""247862661"" Checked=""True"" /&gt;_x000D_
  &lt;Item Id=""398675413"" Checked=""True"" /&gt;_x000D_
  '"</definedName>
    <definedName name="_AMO_RefreshMultipleList.3" hidden="1">"'&lt;Item Id=""472893794"" Checked=""True"" /&gt;_x000D_
  &lt;Item Id=""621796666"" Checked=""True"" /&gt;_x000D_
  &lt;Item Id=""732119577"" Checked=""True"" /&gt;_x000D_
  &lt;Item Id=""205779628"" Checked=""True"" /&gt;_x000D_
  &lt;Item Id=""97505557"" Checked=""True"" /&gt;_x000D_
  &lt;Item Id=""46203661'"</definedName>
    <definedName name="_AMO_RefreshMultipleList.4" hidden="1">"'"" Checked=""True"" /&gt;_x000D_
  &lt;Item Id=""242095788"" Checked=""False"" /&gt;_x000D_
  &lt;Item Id=""880379414"" Checked=""True"" /&gt;_x000D_
  &lt;Item Id=""104386094"" Checked=""True"" /&gt;_x000D_
  &lt;Item Id=""805804074"" Checked=""True"" /&gt;_x000D_
  &lt;Item Id=""416626384"" Checked=""True""'"</definedName>
    <definedName name="_AMO_RefreshMultipleList.5" hidden="1">"' /&gt;_x000D_
  &lt;Item Id=""65748969"" Checked=""True"" /&gt;_x000D_
  &lt;Item Id=""871571195"" Checked=""True"" /&gt;_x000D_
  &lt;Item Id=""612588558"" Checked=""False"" /&gt;_x000D_
&lt;/Items&gt;'"</definedName>
    <definedName name="_AMO_SingleObject_104386094_ROM_F0.SEC2.Tabulate_1.SEC2.BDY.Cross_tabular_summary_report_Table_1" hidden="1">'[1]Table 2.5'!#REF!</definedName>
    <definedName name="_AMO_SingleObject_205779628_ROM_F0.SEC2.Tabulate_1.SEC2.BDY.Cross_tabular_summary_report_Table_1" hidden="1">[1]Table3.8b!#REF!</definedName>
    <definedName name="_AMO_SingleObject_30194841_ROM_F0.SEC2.Tabulate_1.SEC1.FTR.TXT1" hidden="1">[1]Table6!#REF!</definedName>
    <definedName name="_AMO_SingleObject_37461558_ROM_F0.SEC2.Tabulate_1.SEC1.HDR.TXT1" hidden="1">'[1]Table 2.4'!#REF!</definedName>
    <definedName name="_AMO_SingleObject_732119577_ROM_F0.SEC2.Tabulate_1.SEC2.BDY.Cross_tabular_summary_report_Table_1" hidden="1">[1]Table3.8c!#REF!</definedName>
    <definedName name="_AMO_SingleObject_921006515_ROM_F0.SEC2.Tabulate_1.SEC1.FTR.TXT1" hidden="1">'[1]Table 2'!#REF!</definedName>
    <definedName name="_AMO_SingleObject_921006515_ROM_F0.SEC2.Tabulate_1.SEC1.HDR.TXT1" hidden="1">'[1]Table 2'!#REF!</definedName>
    <definedName name="_AMO_SingleValue_104386094_TaskState" hidden="1">"'Partitions:11'"</definedName>
    <definedName name="_AMO_SingleValue_104386094_TaskState.0" hidden="1">"'SASUNICODE7V1Zb+JIEK7nlfY/oKw0D6PZkJCQQzuHCOQYDUNYYDLap4gQsoOWIwMmM9Fq//t+Xe32hW1sY2yCWgiw29V1dH9dXX3Yfksf6CeNaEgFeqI+TWlGA5rQmN7RDu3TLu3hv4ArY+oh/R5Xx/Q3X52TQQ/0O53g+AO9p1/pF3pLHeqCxz/IM8bRCDkFbRvUI3y6kPCMa4LqDlL7oN2xZAvKQ8g8YLlKtuA3MrlU8N2lc7rEr5I0w'"</definedName>
    <definedName name="_AMO_SingleValue_104386094_TaskState.1" hidden="1">"'3GNOfXAYwC+fXqDfDcee8qg2wfPPYu7oKpCsyEsmYNW6DrGr7BsCu5DpmjiXOg6AP9PuPoMyRPI7TNXIa2MMuijLHrQ/I5O8XtIJcg6xdmOVTI3bP3AsrwKLkM+6kGe1NJbagbODJzdwvIaH3dNPrMQzm4uPbbtO9sky1PY2+Br4ryH8xmfKQkz5DRM/US9jZmuGFHeFPl+ZCKpxZKeWM4caVnINKx0UWcGH2Urd8y5s5D5yG3iKUPsuCXu'"</definedName>
    <definedName name="_AMO_SingleValue_104386094_TaskState.10" hidden="1">"'UfDibml+tS0sf7RQHlwj4U9YEzU84WeL9VyRpsLGZ+qyRXcmP1n+Ud/htoszJ6oNco5wOySfIDkzS0+9MyT+u+J2UUJDGppjAPnmO6+/T2aRN5JJrrOX06LGJZ84Mqh+iha/9/Q/'"</definedName>
    <definedName name="_AMO_SingleValue_104386094_TaskState.2" hidden="1">"'5yCzlIPMgxxkHuYgs5yDzKMcZB7nIPMkB5mnufiEvYykil65R9+QJiKerLz8N+Scg4uQem9GR+uW+h3xhfhmba2Su66yLkaKuRR1kyOXR44aDUR58eIzldsZl3k5yqj3M9LcfOz0Hb4irdzljzty9sbNdmwsqb1xsKAxOIfQdYSvoC3Sa45ru1zWBeQasC5jK1ougKJIr+g3jA5q9Id5VMGRX/zzxpdSSpExWjwZ3rjuHf1LdVw5Q+Rfx9k'"</definedName>
    <definedName name="_AMO_SingleValue_104386094_TaskState.3" hidden="1">"'roGYOGoNz2cf/hWrixEk8fRY90GtfugI+sr6iaxzMqcB15/UH0TkXIthyujWWnGyNJcdbY8nR1lhS3hpLDrfGkoOtsaS0NZbsb40lL9cO53zfS7DCHbN7Y+YznE14ftoZMSuqBlvR53i3Z82MfgRtxYzaxcyyGi8ISTKqlGOtqTVrGCy/wfPDQfIrnDoEnYgiZ6YGdY6R+zxesY/lGGbC5RNd/jWO1eijzjKMxLoEa6CkO6XNQkdLTkq3Pl'"</definedName>
    <definedName name="_AMO_SingleValue_104386094_TaskState.4" hidden="1">"'Vcq9MXjGcaEW0O5tXCta8rc2mibC6Bw1X5XAFZNXzOI1tWjFGixUh1nwynNgqa+HYhvW+OfowMERqmRTbYvEANtuD7OitjQfi26Hyyw0G4v7xC7nukqbH/Fb5dTpmG+od06l9JreB8as31ZIuABlpvGvUvvFwDv5UNxEC4L1C10OEeuJtxL+UnPauav+baX7XmL+FBKuBUo1tYcY1vBTa/LAzYpZ9mrNJmOrlDII7cqGUXZYZWUbf4WtxVd'"</definedName>
    <definedName name="_AMO_SingleValue_104386094_TaskState.5" hidden="1">"'pXLOYur0hbXnkXqDWq/xZqO2HIVgwqaPR8u8XcBRMnh3QsQvgNgyJzUvPqDNS8szoQNF66UpLP+y9aS89dif0P0KG2IHgcbosfhhuhR3hA9jjZEj+MN0eNkQ/Q43RA91Jr4ujUpxurFgtaA3b34gHvb5PmfF+LyL9DyT0Qasld+tGaKFntt96qtTduhKOuvuwEzLuGWOuVUlq7eqjJIIiksXvFanvaacw+fM6Q2TMoqPreJrLhdonnYar8X'"</definedName>
    <definedName name="_AMO_SingleValue_104386094_TaskState.6" hidden="1">"'KckQ1YTUc+TRmNKYWg+m9jWqNKpSR1VJo0qjKnVUHWhUaVSljqpDjSqNqtRRVdao0qhKHVVHGlUaVamj6lijSqMqdVSdaFRpVKWOqlONKo2qNcyC7mlcaVz54moZ5fJVRHvtMtq+nqq5w7PNOm/u3h6/50LksSId9FyMPHQRyPiRm/QWLT6VJJ89An53VeeDDb+72vVuBef9Df69nu2FVu35qjTkMpsFlkp6fV8yWcv8cD49YDJbbpfqH7S'"</definedName>
    <definedName name="_AMO_SingleValue_104386094_TaskState.7" hidden="1">"'H9pLP50jx7mtRetSpz3c1DR1clD0t/E7xL1rXwGw9ds4CayTzFlx3YUmP6UxxtyWvlte0bL93G9cE7Rmo093H7byba8a2SB8Tbxf3F5w9sI4j5if2/957eD6Q3J+e3S7uRWobDzZNMkyuO5qXvkzEfOLur3Pt1bRXy9mreSMx7d+0f0vu38R9Pmew6BxHH/Gtax+nfVzuPs5v3K39nPZzq8zKVtEKq3RF4i7HS+3ltJdb2ct5uQTfpd5H/g'"</definedName>
    <definedName name="_AMO_SingleValue_104386094_TaskState.8" hidden="1">"'mJe9Ll/I+03L43NLgtv9wW10Fbu4Yna5O8r7itW5xucbnHFd452+hRhW7d/uOGBj8VR7dt3bbzbtvuNUM9XtDjhXxX29VTYc7oL9q0dfVs17NfwqplvJkwZ91G6dfUe13aKLNPrr4sWh+22C8l74/CdF/Wg8TrOcIkbcqOmaKjnwvOV+Wo0UDaiOnuI7VY51N4REnuhPJrsv69BX+ynjq4NXemFV2+OJqVKkfH8iLxysLO58S2ndoO4WPHR'"</definedName>
    <definedName name="_AMO_SingleValue_104386094_TaskState.9" hidden="1">"'QUPnwJr3+dI4iG0z4sm6YIjfgNpE9Y7joTikrKxo55FDxq1FK9JvNOp5oqhnNzcOSdMvWPGVXfAh7LhKzi14JXsa6r1O6+MkD41dZC+MjhetX1pCXqWHflvQLH4PKypWdKNFfjfm7Z3QPto2ixL6JF/m9w+ZmaMIuOj4NhTvAnr2cGjxu/ocsbcdtzjrXl3LQSlrwsV4jmxUTER9DxZL0LqaAuiVmpU4bJfRIqkaJF6C9qcvZWtrVuLmQdR'"</definedName>
    <definedName name="_AMO_SingleValue_112461039_TaskState" hidden="1">"'Partitions:11'"</definedName>
    <definedName name="_AMO_SingleValue_112461039_TaskState.0" hidden="1">"'SASUNICODE7V1bb9pIFD7PK+1/QFmpD1U3BHLX9iICaVKVEhZIqn1ClJAtWi4pmLbRav/7fnPG4xvY2MbYDhohwJ45cy4zn8+cudh+Te/oJ41pRAX6TgOa0ZyGNKUJvaE9KtE+HeC/gJwJ9ZF+j9wJ/c25CzLogX6nMxy/o7f0K/1Cr6lDPfD4B2UmOBqjpKBtg3qMTw8SnpAnqL5A6gC0e5ZsQXkEmYcsV8kW/MYmlwq++3RJV/hVkuY4r'"</definedName>
    <definedName name="_AMO_SingleValue_112461039_TaskState.1" hidden="1">"'jGnPngMwXdAr1DuzmPPMehK4HlgcRdUVWg2giUL0ApdJ/gVls3AfcQUTZwLXYfg/xG5T5A8hdwBcxXSjlEHA9RFH5p/oXP8HlEZss5xtmfVzB1bP7Qsr4LLiI/6kCe19NaagTMDZ11YXuPjnslnHsDZzaXPtn1jm2R9CnsbnCfO+zif85mSMEdJw9RPtNuE6Yoh5c1Q7kcqklos6TvLWSAtDZmGlS7azOCjdOVOuHQaMh/5mvieInbcEksZ'"</definedName>
    <definedName name="_AMO_SingleValue_112461039_TaskState.10" hidden="1">"'+flCfVekqbDxiWPrArST/GT9h32L1T7OnKg2yDm665B8itzcrD313oDob8vaRw2NaGSO8OW7v7z+Pp5F3kgmvs5eTssal1fEkX7tU7T4vaX/AQ=='"</definedName>
    <definedName name="_AMO_SingleValue_112461039_TaskState.2" hidden="1">"'yCxnIPMwA5lHGcg8zkDmSQYyTzOQeZaBzPNMfMJBSlJFr9ynr0gTEU9aXv4rSi7ARUi9N6OjbUv9hvhCfNO2VsnNpq6fkNc1f7OUvS3ri6EiTkXd5LjtkWNmA5pFi05VaWdU6uUoY/5PSHPzsdP3OEdauc8f97jBO2qwRwaS2jsKEDQGlxC6jvEVtEV6yVF9j+u6gFJD1mVijRUKoCjSC/oNY6Ma/WEeVXC0Kvp7tZJSSpERajQZ3qj2Df1'"</definedName>
    <definedName name="_AMO_SingleValue_112461039_TaskState.3" hidden="1">"'LdeRcYNxTx9kLXDML0Bhcyj7+L1ATJ06i6bPsf1+upCvgI9srvMb+nArcdl5vGJ5zIYQt5ztjydnOWHK6M5ac7IwlxztjydHOWHK4M5aUd8aS0s5Y8nztcM52Pgcr3DG7N2a+wNmUZ+edEbOiarAVA453+9a88AfQVsyoXcyrq/GCkCSjSjnSnFlzpv7yGzw77ie/wqkj0Ikocm5qUOcYecDjFftYjmGmXD/h5d/gWI0+6izDiK2LvwZKul'"</definedName>
    <definedName name="_AMO_SingleValue_112461039_TaskState.4" hidden="1">"'PaPHC05KR061NFXp1uMZ5phLTZn1cLeZ835tJE3VwBh5vyuQayavhchrasGKFGi6HaPh5ObRQ08e1B+sAc/RgpIjRIi3Sw+R4t2ILv62yMBeHbwvNJDwfB/vIape+Rpsb+1/j2OGUW6B+SaX8ltYLzmTXXky4CGrh6k2h/4eUa+K3kEAPBvkC1Qod74F7KvdQq6Wm1/A23/qYtfwUPUgGnGnVhxQ2+Fdj8vDBg136SsUqb6eT+iChyw9Zdm'"</definedName>
    <definedName name="_AMO_SingleValue_112461039_TaskState.5" hidden="1">"'BlaRd3ivKh7DFQp5yyuSlteeRepd2j9Fms6ZstVDCpoDlZwib4HIkwJ706I4P0PI+ak5tUfrHlhcSZseO9KiTvzv24lPXstSjnRo5wTPQ5zosdRTvQ4zokeJznR4zQnepzlRI/znOihdgRsW5NipF7Mbx3Y3YsPubeNX/5pKS6/hZZ/ItKQvfKjNVO03Gu7V21t2g6FWX/d95lxCbbUKaeydvVW1UEcSUHxitfypNec+/hcILVhUlbx6cay'"</definedName>
    <definedName name="_AMO_SingleValue_112461039_TaskState.6" hidden="1">"'ortG86DVfi9S4iGqCamXKKMxpTG1HUyVNKo0qhJHVVmjSqMqcVQdalRpVCWOqiONKo2qxFF1rFGlUZU4qk40qjSqEkfVqUaVRlXiqDrTqNKoShxV5xpVGlVbmAU90LjSuFqJq3WU61cR7bXLcPt6quYOzzbrnN+9PaueipHFirTfU0Gy0EUg40dm0lu0/EyWbFpk1Z30eo+A866C1X2Nfe1v2t9UacR1NvetleR6nHiy1nm/bPqdeLZ01+r'"</definedName>
    <definedName name="_AMO_SingleValue_112461039_TaskState.7" hidden="1">"'vt3P1is8XSPHuJlF61GnA9xKNHFyUPS38zvAvrq6hefXYJQuskSxbcN37JP2UM8V9LXm1vKF1u6zbyBO0F6BOdve08x6qOdsifUy0vdO3OHtgHcfMT+y6vffwfCC5Kzy9vdPL1DYebJp4mNx2DC19mYi0xD1Xl9qraa+WsVfzxj/av2n/Ft+/ibtrLmDRJY4+4FvXPk77uMx93KrRrvZz2s8l4ecafO+89nHax+XFx8mZRe3ftH/bxL9dw7'"</definedName>
    <definedName name="_AMO_SingleValue_112461039_TaskState.8" hidden="1">"'ZbfoK5uHe6rT2c9nCZezjvDHl4H+f/nI0BdJ2SeKqGnEuXtWzf3e7vN/J0dae/4qaeDHFBf1He1tbSXdN6Dmso0cblzrYN49PVmy3aqLOPLj8ezn8v++T4vjhI93XeM5rXDJKUl1XzosPH+5erslc1kDZmuvtQV6zzSRyiJvcC+TVZ//6SP9lOG3TN3SlFly8OZ6Uq0bG8SLS6sMs5sW2ntgP42DFBwcOnwNoPuBd9COyZwkl6zz2igbQp6'"</definedName>
    <definedName name="_AMO_SingleValue_112461039_TaskState.9" hidden="1">"'x1FQnFN3dg9/rIHDVuLNyTealNzxQ9Obu6SU6beM2OKL8CHsuEzOLXglew8dfU7c8ZIn5k6SF/pH6vZvrQMPUuO8negWH4mzsys6cYG/O9N2zugfTRtljX0yL9Nvj7m5ghEjn784y7xLqAnB48av6XIGW/aoxpvy7tbwS99W6gQz4oMiwm/Z0p6EVLHtSBapUYVrvtlpEiKFqn3QC3YW9naurWYexAVBi/uK21VawvLHy2U+7dI8FOWRAtP'"</definedName>
    <definedName name="_AMO_SingleValue_15410102_TaskState" hidden="1">"'Partitions:13'"</definedName>
    <definedName name="_AMO_SingleValue_15410102_TaskState.0" hidden="1">"'SASUNICODE7V3pb9s2FOfnAfsfjAzoh6KLm6TFVvSCcxdNHM85in0yHMdpjfmqZacLhv3v+/FRFClKlCVZkeKMEGzreHwXH99BUfI79pH9zUZsyGrsjvXZjHlswCZszN6zDbbFNtlL/NZwZcx6OH+Dq2P2la4u2Jzdsl/Z79j/yD6wn9lP7B27YF3g+AttxtgboSWHPQf0CFsXFO5xjUNdg2ofsBsBbQ75CjR3iK6kzfGNfCwNfDbZATvCt'"</definedName>
    <definedName name="_AMO_SingleValue_15410102_TaskState.1" hidden="1">"'6TkYX+fMPWAYwC8ffYC7a4MeV4Dbgs4XwbYOdQeOBtCkgVgOa9jfHPJZsA+JIgWjjmvA+D/jKv3oDwB3T5h5dReQwd96KIHzq/ZG3y/Ytug9QZHG4Fmrkj6QSD5HrAMaa8HeoJLU2tzHM1x1IHk+7Tf9fF4CZjDWHok23eSSeiTy9uka/y4h2OPjiQFDy3nPn+838YEV09Jb4Z2P0qh1CZKd0RngXNl0JwH53mfzWmvDLpT0usdjb9e6bKO'"</definedName>
    <definedName name="_AMO_SingleValue_15410102_TaskState.10" hidden="1">"'BHkEj84PgV+8rbUIzKaFqbfLd2ib0/fqdGQvKKxFYeRvNg1nNsXRMPVepEay2rGddj31qFS+U2YF2cauahf2xPLseQIeVefUDDw14l5449vEHDYdpUPyx3OcmxDfWSjUl+hGVTHRjCitFs9o9O6HaiIdW7ilGOsbfp10DbuXMnwBpjayDHVNRnP9ygjnZz4PIvex158qN/oNe6r1Fa5H3xE18/XczI39xpf7ApBTX16hnSl9t2gMeH69IWo'"</definedName>
    <definedName name="_AMO_SingleValue_15410102_TaskState.11" hidden="1">"'dex2pYrfU8LlRPysvYfZ6uAfS9Ivu40XdvqAR2IzoifN357dp0GeKrZge5WcvsPG3/E01bZvcZenHtDiX9Z7EwFsJa0jW+kONNx4h0o422zuyzZ46gZfhFr/PGmTX0R4TEG0m/yNyQf5ecRvmwjN6NttIjOsJLvU08B35tN6msTOh92b1mJ6rylF3yrokzbWPT1l5mn+33MSR7i1U3epRS/EOS8/XnPyvruz/orkJDQ2Z/Gck8Z+gZhTNJ5'"</definedName>
    <definedName name="_AMO_SingleValue_15410102_TaskState.12" hidden="1">"'FZ7+Xn2cQU5Xg7ptq29U89wPeB/Qc='"</definedName>
    <definedName name="_AMO_SingleValue_15410102_TaskState.2" hidden="1">"'qXUZNFu+nOVR1MfHVukUt0unuFOavfbRj+X5nTDFcnoyTLOcvgzTLKs3eYzqsW84x+N/Wf7nG1ougIVTvfFzhdWp1lPFYgktPNKUsok5on+2uC1b6/HaxLiLownlYDqWXVxp0/k+ME4IluPjrW7peBSc39DyrxnFQpkRtfE9w2+NMpZ7wixhwlo5JM16S9oqKFOnNqlsUp9hX+rvBL8ejkw9fqMIf0L91Ce6SlK9vZfYgzpkmMIRWkyAm8v'"</definedName>
    <definedName name="_AMO_SingleValue_15410102_TaskState.3" hidden="1">"'E5fGICr9ya5HTjqvp73sGpnmstusZ+I/qNk532axLWs4Zvm8ItkF93qeRJrL8dbQqUVmc4lxYXnV+g64Ij7FJW7g6MWsTVX8IaLPW4DBzasHH/QgfDltnz6l26JK3rKHVgHgZBxVJDRB19oz9ggpsn7319xrYi8sxX8RCCioiD85Gw8wn37N/YEkN6PcAv+8B+R1amYD629D+v8AYh68W8KHy8fQ4k6TT/Xh2GfVIaedcWEAROqiRNZhxKz'"</definedName>
    <definedName name="_AMO_SingleValue_15410102_TaskState.4" hidden="1">"'3mWgpJtp+MJFtPRpL1lSNcGzwNOdZ5hITr0achxzpIEc480mVRE5orvAnlpeuTK8XLJKFOKUPsx0Tcpyhtk+ywT1ldL5hj/QTYhp+R3xGnosIUc9bdSIa/flpp0vy3TSsNOjsEnEdVhtCLXo+pfVGLT2jc2eue7FVgel7sHBRZM+7h2gm7xPhoppTZjquNa19WxtKCbo7g31bFcwx738d2kFqy8qrYZDtVVtDCp0sVjfBZ8xItNImLcmzzE'"</definedName>
    <definedName name="_AMO_SingleValue_15410102_TaskState.5" hidden="1">"'D3YRky9WNkWeMxMj+fh7EDNTxxRqwVg47Uv/IGce1PtovW+vHN4Dlv/TPW/qP3FnOGYZJwYs00mz+cEJeZJwvzY+NBbhOPHM5rRfBvMIF0FFTSfPxhQJKpRjfuV4KK6j+ooXxQ8BjWOSa+5j3Hc9fE/xcgvZRazF/8XaeXMlCnvMi+1PnpI77elLho4ngV3OMr13E1E3WX+dtmccnLO0sR34xF49GyRXfbNBdVp3ZJzzjjqZdnDGdnEqnH8'"</definedName>
    <definedName name="_AMO_SingleValue_15410102_TaskState.6" hidden="1">"'CKOsAUz7rAMpzvBpQOb1sgGl/SIrD3sET6abVndp7htKaHmfL9u9RdlKj1PyXHSlzJAyiwb2OacjklzWuRzmZQyW7GuW0rQwVy4lr1caEiZ5t/c2uMPCj7gMh6Ezee9BL1sTUjUX24+Ci53KuIiuJ6mei+osI27dSfV8lGMd9UzeybbSJOydB+RF87e/j+Rbl+DyD0QQ4W2nTM4yRr1xeI2Igr3QKlb7HepNy7xYsqQ6ncbS+9tSB3koJcU'"</definedName>
    <definedName name="_AMO_SingleValue_15410102_TaskState.7" hidden="1">"'hU/Ki78r3sO3ibNOH3MPWySVFZwnnSWuLTEvJZ1EtUD1AG2dTzqYexqa2nFU5qyrcqradVTmrKtyqdpxVOasqwKr0PN3FP2dTRduUi37Opoq2KRf7nE3F29QyyOWzXGpuLd39hD1/ncg58fx47ynEPclaxXyp7enhKnjhlvGjMuptFn12uwo+xAi5q9gupj4X+tPd1dhn3BOXbkZfX6kZH3mVJ1w1+u6xIenMs2qluPibj9ayWFBNFM4nS2'"</definedName>
    <definedName name="_AMO_SingleValue_15410102_TaskState.8" hidden="1">"'cp/7b1A7b1iIqPE9anVeNDDUt07dOQIkG4ZY04Em1roecUhNfWz4THUva1LvJJUP68cbFrWPTV8vnXLl3iSD7vzPHxtQ83Bk7b07oPt4IlCh1de1nPaZMPXU0IX8bzTr6O/cB5NefVKvZqZjbo/Jvzb/n9G1/juAuJDrD3CZ8T5+Ocj6vcx8XV/s7POT9XhJ9r0vOIzsc5H/dYfJyYT3P+zfm3VfzbMWS7pPe+8idYzp2Hcx6ucg9nzpCn9'"</definedName>
    <definedName name="_AMO_SingleValue_15410102_TaskState.9" hidden="1">"'3H2JzP74HXC+HOYYi5daFk9Y2T3G+s7uls0D3Xlchc3sh/FyA7fCXSZi8tcVvdtn+ipazf75Lxb1d7NXGHg/Jvzb9WuHZPvVthlf7LHtkqs3NVZ67D+Jds9Fb1v08Q1841MyurTxbBoXMofj5J4XxZBskUOO6VsFeQpE/9hM9DeU3Go+bv1eI9RPaMeH4ePq2t5gL3dHs0YzHFuRHA3Fnj7uz64pW0k4msR/72Iv30YG+34/85UX4GnsH/s'"</definedName>
    <definedName name="_AMO_SingleValue_205779628_TaskState" hidden="1">"'Partitions:13'"</definedName>
    <definedName name="_AMO_SingleValue_205779628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205779628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205779628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205779628_TaskState.11" hidden="1">"'M5EFkusE9bTsT3gefJzi3MdwDxruf4cysk8ZSFHqm/HeAnppyCy1N6fuW2oxhjtqKEePgnrOdsUlNt5QRA9urqLXvrok49eOMCWKkYkEttuHRFefvySxToc8URzY1y+/e4eC70k4dGle5S1KXcXFG1Z7EwEsJiwjX+qraHY8ocVtd0H86qDVVh1fiVl9jFbJtb40JiCaT/0S7oPhgc+vmwlBqNnmL9KsNLvnU8iPpNN+k9jOhvTe7zNlLkS'"</definedName>
    <definedName name="_AMO_SingleValue_205779628_TaskState.12" hidden="1">"'3vmnVIogcTn23pcf5HdxtXTq9hj1gYVFLsu2yY2pP/kZf8/3q3oSEuo2iR4t+H1cibTiK1p5+eZxWTl+M9n7w/qH7KFr4P7D8='"</definedName>
    <definedName name="_AMO_SingleValue_205779628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205779628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205779628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205779628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205779628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205779628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205779628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205779628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222545728_TaskState" hidden="1">"'Partitions:11'"</definedName>
    <definedName name="_AMO_SingleValue_222545728_TaskState.0" hidden="1">"'SASUNICODE7V1bb+I4FD7PK+1/QF1pH0azpaV37VxEodOOhqEs0I72CVFKd9By6UCY2Wq1/30/H8e5kYQkDUmKLAQk9vG52J+Pj2MneUPv6R+a0JhK9J2GNKcFjWhGU3pLO7RPu7SH/xJypjRA+j1yp/QX5y7JoAf6jU5x/J7e0c/0E72hLvXB42+UmeJogpKCtgPqCT59SHhCnqC6g9QhaHcs2YLyEDIPWK6SLfhNTC5VfHfpgi7xqyQtc'"</definedName>
    <definedName name="_AMO_SingleValue_222545728_TaskState.1" hidden="1">"'FxnTgPwGIHvkF6j3K3HniPQ7YPnnsVdUNWg2RiWLEErdJ3iV1g2B/cxU7RwLnQdgf8n5D5B8gxyh8xVSDtCHQxRFwNofkdn+D2kCmSd4WzHqplbtn5kWV4DlzEfDSBPaumtNQNnBs56sLzOx32TzyKEs5vLgG37xjbJ+hT2NjlPnA9wvuAzJWGBkoapn2i3KdOVI8qbo9yPTCS1WdJ3lrNEWhYyDStdtJnBR9nKnXLpLGQ+cp/4niF23BL3'"</definedName>
    <definedName name="_AMO_SingleValue_222545728_TaskState.10" hidden="1">"'d7/0a29h+6OF9eA2CX8mk2jjGT+NaOCKSxU6PlOfbboz+ckWiPrOq12cOZFtkHM+3CX5zLmFWX/qLQPx3621ixoa09icMcg3hXlHh2QWeeOe5Dp7Oa1qXPGJOoPap2zxe0f/Aw=='"</definedName>
    <definedName name="_AMO_SingleValue_222545728_TaskState.2" hidden="1">"'c5BZyUHmQQ4yD3OQeZSDzOMcZJ7kIPM0B5lnufiEvYykilF5QF+RJiKerLz8V5RcgouQem9GR5uW+g3xhfhmba2Sm09dPyGvZ/7mKXtT1pcjRZyKusVx2yPHzAY0ixedqtLOqNTLUcb8n5Hm5mOn73COtHKXP+55g3fWYM8MJLV3FiBoDC4hdJ3gK2jL9Iqj+j7XdQmlRqzL1JorlEBRpl/pF8yN6vS7eVTFkV/099qXUkqREWo8Gd6o9i3'"</definedName>
    <definedName name="_AMO_SingleValue_222545728_TaskState.3" hidden="1">"'9Sw3knGPe08DZr+gzS9AYXMo+/i9UEydO4umz6n9f+dKV8JHtFV3jYE4lbjuvN4zOueTL2TkXerlWuFtkW+zY3xpLKltjycHWWHK4NZYcbY0lx1tjycnWWHK6NZacvQhL3DG7N2Y+x9mMr847I2ZF1WQrhhzvDqzrwh9BWzWjdnFdXc0XhCQZVcqZ5ty6Zhosv8lXx4PkVzl1DDoRRS5MDRocIw95vmIfyznMjOsnuvxrHKvZR4NlGIl1Cd'"</definedName>
    <definedName name="_AMO_SingleValue_222545728_TaskState.4" hidden="1">"'ZASXdKW4TOlpyUbn1qyGvQDeYzzYg2B/NqI+/Ls7m0UDeXwOFz+VwBWXV8LiJbVo5Ro+VIbZ8MpzYKWvj2IX1ozn6MDBEapkU22PyAFmzD93WfjQXh26LzyQ4H4f7yCqXvkabm/lf49jllHuof0ml/JbWK87l1rSdbBDTRe9Nof+HlmvitFhAD4b5AtUKXR+B+xqOUn/SsWv6aW/+5LX8JD1IFpzr1YMU1vlXY/LIwYNd+mrFKh+nk/og4c'"</definedName>
    <definedName name="_AMO_SingleValue_222545728_TaskState.5" hidden="1">"'qPWXZQrtIq6zXlx9xioUs6ruCptdeVdpN6i9dus6YQtVzGooNnz4RJ/D0SUEt6dEOH7H8bMSV1Xf7CuC4szYcMHV0rSK//rVtLz12K/IHpUCqLHQUH0OCyIHkcF0eO4IHqcFESP04LocVYQPdSOgE1rUo41igWtA7tH8RGPtsnLP63E5TfQ8g9EGnJUfrSuFK2O2u5VW5u2S1HWX3cDrriEW+qUU127eqvqIImksHjFa3naa84DfM6R2jQp'"</definedName>
    <definedName name="_AMO_SingleValue_222545728_TaskState.6" hidden="1">"'a/j0ElnRW6N52Gq/FynJENWC1AuU0ZjSmNoMpvY1qjSqUkdVRaNKoyp1VB1oVGlUpY6qQ40qjarUUXWkUaVRlTqqjjWqNKpSR9WJRpVGVeqoOtWo0qhKHVVnGlUaVRu4CrqncaVx5YurdZTrVxHttcto+3pq5g7PDutc3L09fk/FyGNFOuipIHnoIpDxIzfpbVp9Jks+LeJ3J73eIyDut76ia7rhpymJfZydkHHH9gPPHXtqNOb6WwTWUHq'"</definedName>
    <definedName name="_AMO_SingleValue_222545728_TaskState.7" hidden="1">"'jTzJZ6zxhPmNQMlt6a/UP2sV6yedLpHh3lig9GjTk+4rGDi7KnjZ+5/gXPW1k9iS7ZIk1kmVLrvugVnurM9fdx7waB+/5H0LXGYkd/rJfy1q2d9o+kNyBvX6vrV0rNk2yltl0VGnfM6R7tO7R+fVoGYVE78XXtO4eig7yBO05qNO9N8J5h+SCbZERRLw7I25w9sA6Tpif2FN/7+EZ7HGi2xHvzoiX78vEPErcUXmhvZr2ajl7Ne/sRvs37d'"</definedName>
    <definedName name="_AMO_SingleValue_222545728_TaskState.8" hidden="1">"'+S+zdx79w5LLrA0Ud8G9rHaR+Xu4/zu5al/Zz2c2n4uSY/GUP7OO3jiuLj5LqB9m/av+W74qaeDHFOf1LR1tayXdN6GWsocSJ3Z9tGGdfUmy06qLNPrrEs2hi2Oi4lH4/CdF83gsQbOcIkFWXVvOwY54LL1Xglw0DahOnuI/VY55M4RE3uhPJrsf6DFX+ymTbombtTyi5fHM1KVaJreZF4dWGXc2LbTu2E8LHjopKHT4m1H3Ik8RA65kWT9'"</definedName>
    <definedName name="_AMO_SingleValue_222545728_TaskState.9" hidden="1">"'IFmHD9M+XcYQcKSY5eGFdf5PWHQW+fhdWhHR6ueNmptX5N4+03dFWs5ublLzph6x4y/7oAjZesXcGrDe9l5yks4cyZIn5s6SJ8aHNfaPrcCPQ9wbHO4Bc3q03PmZps0nyXh3rS/C+pH025ZS4/82+K+tDDjGRlLBcep4r1BTw4edX6jkTM+t2Mkb+u7WyIofVPIEM+VjIqLoOdPelHSQL8R7VKnKtf+KlokRZvUO6OW7Nlsbd1aLDyoioYZ'"</definedName>
    <definedName name="_AMO_SingleValue_225272241_TaskState" hidden="1">"'Partitions:13'"</definedName>
    <definedName name="_AMO_SingleValue_225272241_TaskState.0" hidden="1">"'SASUNICODE7V3pb+I4FPfnlfZ/QF1pPoxmSy96aC5Reo2G0i4wHe0nRCmdQcs1BNqtVvu/78/PcQ7nDiGBWSsCEuf5XX5+79lxzDv2kf3NRmzISuyJ9dmMGWzAJmzM3rMttsu22Q5+S7gzZj2UP+DumH2juws2Z4/sd3aM84/sA/uV/cLesTbrAsdfqDPG2Qg1OWwL0CMcXVB4wT0OdQ+qfcBuWbQ55AFo7hNdSZvjG5lYqvhss3N2iW9Jy'"</definedName>
    <definedName name="_AMO_SingleValue_225272241_TaskState.1" hidden="1">"'cD5GWHqAccAePvsDerdKfJUALcLnDsWdg5VA2dDSLIALOd1jG8u2QzYhwRxi2vO6wD4P+PuCyhPQLdPWDm1CnTQhy564PyeneD7gO2B1gmutizN3JH0A0vyGrAM6awHeoJLVWtzXM1x1YHkZ3TeNfEYIZjdWHok2w+SSeiTy9uge/y6h2uDriQFAzXnJn+83cYEV45Jb4Z6z7lQahKlJ6KzQFkeNOdWOW+zOZ3lS3dMtfOgOaU+8ZSj7bgp'"</definedName>
    <definedName name="_AMO_SingleValue_225272241_TaskState.10" hidden="1">"'KBsR3EMszp17TXF/sRWK75assOfR+Go8Tcdcf1legid3lOtY2SDPsVaBX+wWngVm1U/Y/8TQoWNO38vTka1gY80KI99Z252fZkdD1XuWGklqx8G0y7F7pR0BZW6XrO/a9dzxVJa2QvDYI9aSgqdE3IuY+hjqteJRuqCoOkfZhPiOprCgKF63Rtx++/urOg/XoT1u9ea/cbV9Q738zDUKdmJz1xQ+YcscGd+jf0hZvwJTEzmlfU/mbs47I5T'"</definedName>
    <definedName name="_AMO_SingleValue_225272241_TaskState.11" hidden="1">"'PTB5Ephs842Bnwvvgs+KofwcI726GM7NFGkvgfzBlbwN2asosNDSl71vqL4Y5whSj2+DZAztbk1puKbMmtkdRW97dCnHaxhkPxGzNgnprw6Mpzt+TWadKnymObFqVl7Zx8B1ppw59q9wlacm4OKNaT2LgtYQ9hGt9VX2OR5O4PS7o/xzUlqrDI3GbP2NVsmxviwmIJpP/Nrug2GBz6+bCUFo2aW/0awsu99TyIOn03qTeM6FdN3vMOT6R/e'"</definedName>
    <definedName name="_AMO_SingleValue_225272241_TaskState.12" hidden="1">"'6adUmeexOfbedx/il3G1dOj2HPVRhUU+y4bJi6k/+Cl/wfebehIS6j6I/i/4XVmJtOInWMn55nFZOX4z2fjD+ofcoWvg/sPw=='"</definedName>
    <definedName name="_AMO_SingleValue_225272241_TaskState.2" hidden="1">"'7hZAc68AmvsF0DwogGalAJqHBdA8KoDmcQE0TwrxCTs5UeVRuce+o4xnPHl5+e+ouQAWTvXBzI6Wp1qOlX1I6FuK4VPKn+bId5JlKrK2M0NRMZ7iakJZpxPLKe40qbwPjBOC5fh4rUe6HlnlW46Mc0bRX+aATXzP8FuiHO2FMEsYt1YuSLNGRF0bStVpkFRBUt/gXOqvjl8DV6oev1NOU6d26hNdW1JnfSO0BZ2QbgqXqDEBbi4Tl8cgKvz'"</definedName>
    <definedName name="_AMO_SingleValue_225272241_TaskState.3" hidden="1">"'OY4Ccwbga5rmhYJr7arucgH+vbv10l8y6pOXc4PuBYKvU5n3qaWJcs4lWJcZS1yhzy2uXb9Ed4TG26XCPx9TRmD3iEtDq6IrDzKkG7/cjfDhsmb2m0VKXvGUJtQbEy9gag5UAUWav2G8Yc56xt+ZZFWd+WfUbX0hBRWT+yWioo4X37B9YUhX6Pcfve0D+QPkE1N+6zv8N5cTpc5Px441rr33hSjhEe5Vi4DnJBMtxJliOMsFymAmWSiZYDj'"</definedName>
    <definedName name="_AMO_SingleValue_225272241_TaskState.4" hidden="1">"'LBsp8Jlr1MsOxmgiUdDufMRBQGt5eM5/EnNJPz4Iqhm+PX/WWSUNcUzfo+HudnlLZBNtCnCNSzZsA+AbZqZg9PxKnIhsWMYteTjWyeVho0OxmklSqVDgFnUEYk9OLMHe1zMW6YUK4TnKMlz1jj8xLMQZb5bQ336uwL+kcjpszBuJq493VpLLfQzSVyjGXxXMHez3Ccx5Ysv4w73E5tK7jFp0s5t/BZ8xwtNIyLfGzzAi3YRDxrL20LdXoSE'"</definedName>
    <definedName name="_AMO_SingleValue_225272241_TaskState.5" hidden="1">"'hfP6uzAHktdUq0FYP21L/yBnCew63nHJvK5Tgu2/pnGKmKcIuY3xiTjRBkZqzy3CEqM6dz8BPHhrOGOH69o9uWtNdq9s0YQfKwzoEhUohz/G8F5de/VUbooeAVqHJNzzHGF666J/2eM/FJmMXr7v0grR9GqvFFeanP0EN9vS11UcT2zZmPz9dwNRN0ofxs1/xWeszTwXV0Dj54sssu2adNcSTfnnNOPel72cEM2sWwcv0QvqwLTGetAiht8'"</definedName>
    <definedName name="_AMO_SingleValue_225272241_TaskState.6" hidden="1">"'qpB5s2zA1n6WI4/gCB5ON67u4jzjkNDymUSy5yCyljNOyTLvOoYhZRZVnHNORyS5HOdymB0fLMlXlMSpoa4rCV9NMiRM8snUozUbzK+4DBeukrTPy6LWJRTPxe6a8LG3JnzsrwkfB2vCR2VN+DhcEz6O1oSP4zXh42RN+JDrK1bNSTlRFAtaPeGO4gOKtunrv3jy8i/g8g9kGiIqT5mcjfZGbfe6Bxu27ZjZCH7quh0wfxouqZNONfKZrdR'"</definedName>
    <definedName name="_AMO_SingleValue_225272241_TaskState.7" hidden="1">"'BGkph+YoqedZPmns4TlHaMCFrODqppOhEcB62Xka1lHQWdQuq56ijbUrb1GpsaldblbaqzK1qT1uVtqrMrWpfW5W2qsyt6kBblbaqzK2qoq1KW1XmVnWorUpbVeZWdaStSltV5lZ1rK1KW1XmVnWirUpb1QpmQXe0XWm78rWrKMjop4j2s8t463pq5nrtFvG8vmt7/PYYKeKJdNAeK0Xwwi3juTDqTebd4aaYNQJ+uyEUYxt+OyTo1QrOt5'"</definedName>
    <definedName name="_AMO_SingleValue_225272241_TaskState.8" hidden="1">"'X8o57thZaNfDU2JJ0ZgVrJLvaloxXlh4uJgOlk6UTyH7SGNuidHJuPOuvTm5NDBxbv+v8heWF3zRJxJOqWXO/LC4/pLHH3JZXLGxa9K4bYuYHvD5LtOm7nG6Pp1+9/wZXcn4Tj4+t/HxScQbtrrG4Vtxfa+/5ROaVNrjqbF76M53z8Xc5z7dW0VyvYq6mZmPZv2r+l92/8PZ9TSMTf5ebvqmv/pv1bsf5NHftr/6b92zKzsTX0wBq7Yvztx'"</definedName>
    <definedName name="_AMO_SingleValue_225272241_TaskState.9" hidden="1">"'kudwWkPt7SHU7EEv0nfR/0J4+/Ni3kfIbn9TmhwX97cHtdGX7uBJ2sx8T5xS/c43eMKzynUudr4WYXu3f7jhTb7hE9dR1Tdv9egf3uf0+lxgx43FPu0Xe4Kc8r+ZOv2XD3f59mb8NQyWWRztm2c2KbuJWdbfbw45o1N6WNSGO9RUSRZ9AimlCzbumbiv5EGjh12Lhz+bjN2YCsn1OMm+Dj++xya+ebl9+Lm3snkU33apkpZViTyb/0ajZHm'"</definedName>
    <definedName name="_AMO_SingleValue_242095788_TaskState" hidden="1">"'Partitions:11'"</definedName>
    <definedName name="_AMO_SingleValue_242095788_TaskState.0" hidden="1">"'SASUNICODE7V3rb+JGEJ/Plfo/oFS6D6dryIskqPcQgTxOxxEKJKd+igghPVQeKZhco6r/e3876/UTG9sY25FWKMRez85vZnd2ZrzrNe/pE/1DExpTiZ5pSHNa0IhmNKUPtEP7tEt7+F/ClSkNUP6Aq1P6k68uyaBH+pVOcfyJPtLP9BO9px71weMv1JniaIKagrYL6gk+fSC84JqgugfqELQ7FragPALmIeMqbMFvYnKp4W+XzukS3wppg'"</definedName>
    <definedName name="_AMO_SingleValue_242095788_TaskState.1" hidden="1">"'eMGcxqAxwh8h/QO9W49+lRAtw+eexZ3QVWHZGNosgStkHWKb6HZHNzHTNHGuZB1BP5fcPUFyDPgDpmrQKugDYZoiwEkv6cqvo/oAFhVnO1YLXPL2o8szevgMuajAfCklN5WM3Bm4OwOmjf4uG/yWYRwdnMZsG5/s06yPYW+Lb4mzgc4X/CZQligpmHKJ/ptynTliHhz1PuRCVKHkZ4ZZ4myLDANq1z0mcFH2eJOuXYWmE88Jp4ztB034n4O'"</definedName>
    <definedName name="_AMO_SingleValue_242095788_TaskState.10" hidden="1">"'N2V2cea0ZoOc8xM9ku//W5gtp94XH/+3a3bRQmMam3dv8pd4vD4+mUbeHDS5zF5OfokPVkTsoP4pW/w+0v8='"</definedName>
    <definedName name="_AMO_SingleValue_242095788_TaskState.2" hidden="1">"'mAc5YB7mgHmUA2YlB8zjHDBPcsA8zQGzmotP2MsIVUTlAX1Hmch4svLy31FzCS4C9cHMjjZHLUfKPhR1m2P4E+dPBvKdeJmKqu3MULwcZf73FWVuPnb5Dl+RWu7yx51DejNIO0uU1N6MUNAYXEPIOsGfoC3TW87w+tzDJdQasSxTK28sgaJMb+gX5MkN+s08quFoVSbwbiWlRJHZSjwMb4bzgf6lJq6cIQdu4uwNRsUSNAbXso//C5XEaSf'"</definedName>
    <definedName name="_AMO_SingleValue_242095788_TaskState.3" hidden="1">"'x5PGPxbcr6Ur4yP6KLnEpAmI1Y7zTjPFOMsY7zhivkjHeUcZ4hxnjHWSMt58x3rbRnPfG6WG5Y6839p3hbMYzLs7Ip6hajDXkuDWw7vU/g7ZmRl8xV6Livpw7EdFBZg9z6z44GL/FMx5B+DUuHYNORIOFKUGTY92Q8w77WOYiM85UouNf41hlEU3GMBLLEiyBQneiLUKzHielW546rjXpBnlJK6LOwbw6uPZtYy5ttM0l7HBTPlewrAY+55'"</definedName>
    <definedName name="_AMO_SingleValue_242095788_TaskState.4" hidden="1">"'E1K8do0XKkvk9mp7YVtPHXB/rQzGKMDC00TIpsbPMCPdiBh+ptbAtNnl2Nyic7Owj3l1eo/YAylcNf4a/PJfNQ/5BO/yvUGs7n1p1ithbQwuhNo/+Fl2vhu1ZAGwj3BaoXehyB+xlHqVXoWfX8Nff+pj1/CQ9SA6cG7t57oOvhrPnKbMBu/TRzlS7TyTWvOLhR2y7KTIui7vC1uOtGqpZzNkaV+VdTROkter/Dkk5Yc5WDCpq9FVzir2tFq'"</definedName>
    <definedName name="_AMO_SingleValue_242095788_TaskState.5" hidden="1">"'eFd3Qpf0xozJzU/9mjN74gzocOFqyTprN261ZH8pdgviBwHBZHjsCByHBVEjkpB5DguiBwnBZHjtCByVAsih1rl2bYk5VhRLGgNxx3FRxxtk9d/8eXlN5Dyd2QaMio/WTNF/qjtXn2xaXsUZR1lN2DGJVxTJ05t7SqMaoMkSGH5ilfztNeOBvicobRlUtbxuUukxd0aycNW7byWksyi2kA9Rx1tU9qmtmNT+9qqtFWlblUH2qq0VaVuVYfa'"</definedName>
    <definedName name="_AMO_SingleValue_242095788_TaskState.6" hidden="1">"'qrRVpW5VR9qqtFWlblUVbVXaqlK3qmNtVdqqUreqE21V2qpSt6pTbVXaqlK3qqq2Km1VW5gF3dN2pe1qpV2to1y/imivXUZ7rqduPuHZZZmL+2zPqp3OeaxIB+30zkMWYRk/ckPvkH+ffT49smp3pH5GwLmrYHWsscf+pvGmTmNus0Vgq6QXcZJhrfN++cSdZLrcrZU/6MnVSz5fosT7NImSo0lD3ks0dnBR+nTwPcd/MbpG5uixa5ZYIlm'"</definedName>
    <definedName name="_AMO_SingleValue_242095788_TaskState.7" hidden="1">"'35Nr7JP2Us8Q9lrxSXtO6p6y7uCZoz0Cd7tPTzj1UC9ZF+ph4z07f4OyRZZwwP/HU7YOH5yPJp8Kze3baT23bg02TzCa3nUNLXyYyLbHn6lx7Ne3VcvZq3vxH+zft35L7N7G75gwaiT2XYk+p9m/av+Xr37x33Nq/af+2iX+7gm43/LZGsaewqz2c9nC5ezjvzFF0Hxe8/3wIWWckdpvLOSbZyvauz2C/8ZpHt8peevQZf019h6bHdwHGt3'"</definedName>
    <definedName name="_AMO_SingleValue_242095788_TaskState.8" hidden="1">"'+uXmcxOovJd8VNvRnijP6goq2tZbum9RrWUOJFNmffRolt6m3lXbTZF1c8ixbH/LEpeUwKk31dFIkXPcKQXsequZz7C8vsshrXUXPLePp5x+xr1bLs0Wh179f5HsBA2YTpHiJJ7nyfihgPO6H82myFA1+Lb2ck3ZnPGJVdETWalqpGz4oF8drCruf0UHZpN4SPneGWPHxKLP2Qc8LHUCuIhnTB928GymYsdxyE8pq2sfNXfxyM2orXJH5vo'"</definedName>
    <definedName name="_AMO_SingleValue_242095788_TaskState.9" hidden="1">"'uHKhp3c3DVnTL1jZsj3sA+lwzdw6iC22NeUD3demaB8bsogI17wnYcdEU8cdW9x1f9Wo7nZyq2EvB9MnXugezJ1lS3zxN9tHhcLM8OU2W3w3YP4dY4XB48G/26I867Jzlq9Pe5u/aDybVmDeNNnVFsIeiOo1zKaGAOiRxpU43b3W4ik6JD6ZZYleylbWrcUC48lrbMT9+ha1dNC6yfLsoN7I/z9WKJ3Z/xmqAE57xGUXXylPmtzb/KTbR/1'"</definedName>
    <definedName name="_AMO_SingleValue_247862661_TaskState" hidden="1">"'Partitions:13'"</definedName>
    <definedName name="_AMO_SingleValue_247862661_TaskState.0" hidden="1">"'SASUNICODE7V3pb+I4FH+fV9r/AXWl/TCaLb0PzSVKr9G0tAudjvYTopTOoOUaAp2pVvu/78/PMUmcgwRCAqwVERLn+V1+frafHectfaCf1KUOFeiZWjQki9rUpx69ow3apk3awn8BT3rURPojnvboKz8d04ie6A86wvUHek+/0i/0lu6oARx/I08PV13kFLA1QHdxNEDhBc8E1AOotgC7MaEtIPdAc5fpKtoCX9fGUsJvk87oAmdFycL1K'"</definedName>
    <definedName name="_AMO_SingleValue_247862661_TaskState.1" hidden="1">"'WNqAkcbeFv0GvnuNXn2AbcNnFsT7AKqDM46kGQMWMFrD2ch2RDYOwxxi3vBaxv4P+HpCyj3QbfFWAW1feigBV00wfkDHeO8RzugdYy7jYlm7ln69kTyMrB0+KoJepJLXWsj3I1wV4fkp3zdsPFYEZi9WJos23eWSepTyFvhZ+K+iXuL7xQFCzlHNn+i3HoMV4xJb4h8PzKhVGVKz0xnjLQsaI4m6aLMRnyVLd0e586CpqwXokZ0aZAJRYda'"</definedName>
    <definedName name="_AMO_SingleValue_247862661_TaskState.10" hidden="1">"'eJ/mPZN5zXBKybzQNcnvRLZdO+ycu8YPq7EDWzGhHpfDxxVdbWB4vjK3OiOkdRnuMQQ+fJciYWkbkfhumf+mz98uxkbr9sq94hw8ef1jfTIuF6PdReCX+0yngVm3MOebL3U+Rnyen44qBQdrWhjFnszeSEF6NHS9p6mRpHYcTrsYu1Y6vlP1CpLVXSef1xOr1FoEHqePX9DwFJh76Y2fInua8Sidsz8eIa3PfE+nMGb/fzUZowTtKa/rPFq'"</definedName>
    <definedName name="_AMO_SingleValue_247862661_TaskState.11" hidden="1">"'HTk/f33OKq+0bruWnnnGDG5s3p/QJG/ZY4gH1Q8n6BZiq6I04z1Sr737SRfrQ5kH2kcLHaE4fas+V9x5P/XvgDe3SqMyI+9GW+Q5wA1tWqZkBn2+5nlh2jE/GF8PHWU77rrRb08aXjifRS9yr/Thl4m4H5Lh2zLW04tOS4O/ZzlPi34AGKZWmSL3DIb/56+ha5y5JKcbFOa30FAaRS9pCtNYXVddEKxK3poV9AUAvqSt4ImHvp1Riq/aXmI'"</definedName>
    <definedName name="_AMO_SingleValue_247862661_TaskState.12" hidden="1">"'SokvpW+5jbBIdbLxeWVrJJamFQOQiZBxOvMZvOq1xz+rxHY5PcvVlV566pwbI82PgcG4/zjflN3Lk9hTOytTin3J/XsvWmvnaZ/Fv2m9BQh9QXDXucW29nZ5NIHxHOzrOOyc/xTsB4PKx8ihN87+k/'"</definedName>
    <definedName name="_AMO_SingleValue_247862661_TaskState.2" hidden="1">"'Bxhe6DATqgOu+88Z1hEvxe0caO7kQHM3B5p7OdDcz4HmQQ4086idRznQPM7FJ2xlRFX0Ppr0DWmiZ5dVa/YNOcfAIqg+2r3ARVP9jn6U+OUj8wue1e1zPhwo+fOUPH3axVg9awV9y/3TAY8NRuApWS9c5Xb3vnWMJ7jr84jKjeUET6qc3gLGPsMKfCLXE993J+kbrtHUkHu2anxTxXmI/wKPP14Ys4LxauWcNWtNyetA6ToNkypM6htcK/1'"</definedName>
    <definedName name="_AMO_SingleValue_247862661_TaskState.3" hidden="1">"'d4d/Cna7Hb9xfv+JyajFdR1J3fiuyBN2QXgoX3Gt8YJmEPBZTEU+eQuQMx1Wxry0N0yhQ28UE/Pt1G6S7ZNalLOcG50eGLXGZt9i7yjH7KlqVjBNcI80rr5O+wU+kx9jkwxtr0CMNTjRBQuuRAwEz4hyi3nfxE7BFesWRgAb7rQJytZmX3iS+UABEkX6n3+gnnr6xr0q4Choxvg6ElFTkqDYZDX0k/I7+gSWVoN8z/L8D5Hek90H9jef630'"</definedName>
    <definedName name="_AMO_SingleValue_247862661_TaskState.4" hidden="1">"'hO3D43GT/+vsyrQLgCDlle8TkOx1TgstN7FvExF2LIcrw2khytjSSHayPJwdpIsr82kuytjSS7ayPJztpIsr02kqyuHO4ZklWQwturjjdC6POs1qNnzLU644BgmRTUNY9+WgE91HWUtsJ22OIRS3MyG/gRsCV7tPnMnMroieBFjgu8o9fV00qFZ2rDtFLi1A7gLB5BS724Yw3OtYwz9bnehY/pk0c44vMSzkGa8ZAynl3RZ9SPSkyZw3FV8'"</definedName>
    <definedName name="_AMO_SingleValue_247862661_TaskState.5" hidden="1">"'ezL3FhuoZsL+Ld58VzC3k9xnMWWLLsITbSdOlZwi1+DYzTSZ40ytNAoLrKxzXOUYBVt6t3ctiDazPh4FmcHTuztgnONARusfekPVFzZyeePZak1LjXY+ieObcm4loyH91jGvhZJ1XmuMZSMAXr5CePDncPbfvzO0fo3k+jo/STiJGJjbW6JChwT+spwft37dTRbK3gJagKTO0Z1ifuGjX8dW34ls4z2/V+kVVFXXd5pXmp19BDfbytdlHA/'"</definedName>
    <definedName name="_AMO_SingleValue_247862661_TaskState.6" hidden="1">"'nMyjZeu5K2h1p/nbafMl0X2WCs6lJfDoyVp2VTZ3PE5rZNznDKKelT3csE3M245foJaVgOmU6pDiBr8SZF4tG3C0n+bII7wFj6YbV3dx5sQVtJrDTjZvrnK52ymV5l/T2eGeRQnXgtMuS67GuQJmKwBL8tW1cXLoa2yjV9Z2GJNayfA0mT0Ud0KGc0/KrKsspq1dzJ+L7SXhY2dJ+NhdEj72loSP/SXh42BJ+DhcEj6OloSP4yXhQ63BXDQ'"</definedName>
    <definedName name="_AMO_SingleValue_247862661_TaskState.7" hidden="1">"'nxUStWNiaO28r3ubWdvb8L75++Wdw+Sd6GrJVHpCKRvtbbe86OQf2zhXZCF+lsxkSP42W1E1HrH2KXuOjdDALpaj+ii552iuTmjhOkFqxIcs46jNJUZ/CedT6St1SZrOoW1A9Qx5jU8amFmNT28aqjFWlblU7xqqMVaVuVbvGqoxVpW5Ve8aqjFWlblX7xqqMVaVuVQfGqoxVpW5Vh8aqjFWlblVHxqqMVaVuVcfGqoxVLSAKumXsythVoF'"</definedName>
    <definedName name="_AMO_SingleValue_247862661_TaskState.8" hidden="1">"'1Ng5w+i+jMXcZb11O212vXmOflXdsTtN9aHjPSYfvN5cGLsIwfuVGvkn+3v3zWCATt3ZOPbQTtomRWK7jfVgpu9RwvNG/LV6YO68wK1Up6bd9stKb54XxawNlkqU/lP2wNbdg7OQ4fV9TiNyc7Liz+9f8d9sLenAXmSOYteN7VlR7TneKtSzqXNzR9FyW504/YTyrdddzuN0ZnX7//GXdqPyuBT6z/fdRwhu3GtLhV3H5o//tHxRltctG9e'"</definedName>
    <definedName name="_AMO_SingleValue_247862661_TaskState.9" hidden="1">"'enLRJ9PvMt5Zrya8Wo5ezW9J2b8m/Fvs/s38Z7PCSQ6w9VH/K6MjzM+LncfFzTuNn7O+Lk0/FyF9+QwPs74uGXxcTLGafyb8W/zzDqVUQPLdEniLe4L04szHm5uD6djCd8xpIX8fRL7g8j4tpTcefc9vC6vbo27Q127gSerkdw3oWZqnKlxufcp9Dmp+L2Kda/d2c+2q11hTugvWrZ59Wzns1dh1jJZJMxdtnF8ur6XnGP18fy33yfP7ouj'"</definedName>
    <definedName name="_AMO_SingleValue_30194841_TaskState" hidden="1">"'Partitions:11'"</definedName>
    <definedName name="_AMO_SingleValue_30194841_TaskState.0" hidden="1">"'SASUNICODE7V1bb+I4FD7PK+1/QF1pHkaz0HuLdi6i0MtoGMoC7WifKkrpDlpuC6Gz1Wr/+34+jnODhCSkSYosBCT28bnYn4+P7Vze0yf6h0Y0pAI9UZ9mNKcBTWhMH2iH9qhIu/gvIGdMPaQ/IHdMf3Luggx6pF/pFMef6CP9TD/Re+pQFzz+QpkxjkYoKWjboB7h04WEZ+QJqntI7YN2x5ItKA8h84DlKtmC38jkUsG3SOd0iV8laY7jG'"</definedName>
    <definedName name="_AMO_SingleValue_30194841_TaskState.1" hidden="1">"'nPqgccAfPv0DuVuPfYcgW4PPHct7oKqCs2GsGQBWqHrGL/Cshm4D5miiXOh6wD8vyD3GZInkNtnrkLaEeqgj7roQfN7KuP3kPYhq4yzHatmbtn6gWV5FVyGfNSDPKmlt9YMnBk4u4PlNT7umnzmAZzdXHps299sk6xPYW+D88R5D+dzPlMS5ihpmPqJdhszXSmkvBnK/UhFUoslPbGcBdLSkGlY6aLNDD5KV+6YS6chc8p94ilF7Lgl7mUg'"</definedName>
    <definedName name="_AMO_SingleValue_30194841_TaskState.10" hidden="1">"'cyLaIOe8rkPy+XFzs+7UewqivzOpiBoa0tCc28s3QHk9fTyLvDFMfJ29nJY13l8RQfq1T8ni95H+Bw=='"</definedName>
    <definedName name="_AMO_SingleValue_30194841_TaskState.2" hidden="1">"'cz8DmQcZyDzMQOZRBjKPM5B5koHM0wxkljPxCbspSRWjco++I01EPGl5+e8ouQAXIfXBjI42l1oKFX0o6iaP4VOOnwzEO9EiFVXaGaF4Ocr47yvS3Hzs9B3OkVYW+eOOIb0RpB0lSmpvRChoDC4hdB3hK2hL9JYjvC63cAGlBqzL2IobC6Ao0Rv6BXFyjX4zjyo4WhUJvFtJKaXIaCWaDG+E84H+pTpyzhAD13H2Br1iARqDS9nH/wVq4sR'"</definedName>
    <definedName name="_AMO_SingleValue_30194841_TaskState.3" hidden="1">"'JNH2W++LblXQFfGR7hdfYn1OB287bM8JzLoSwpbw1lpxujSUnW2PJ8dZYcrQ1lhxujSUHW2PJ/tZYsrc1lrxeO5wrX6/BCnfM7o2Zz3A24ZVaZ8SsqBpsRZ/j3Z61RvgZtBUzahdrrGq+INdcRVQpZx0za/3MX36DV0r95Fc4dQg6EUXOTQ3qHCP3eb5iH8s5zITrJ7z8axyr2UedZRixdfHXQEl3SpsHzpaclG59qsir0w3mM42QNvvzai'"</definedName>
    <definedName name="_AMO_SingleValue_30194841_TaskState.4" hidden="1">"'Hv28ZcmqibS+BwUz5XQFYNn/PQlpUi1GgpVNvHw6mNgia+XUjvm7MfI0WEBmmRDjYv0IIt+L7OxlgQvi08n/RwEOwvr1D6AWlq7n+Fb5dTZoH+IZn2V1IrOJ9ZK0zpIqCB3ptE+wsv18BvJYcYCPYFqhU6PAJ3Ux6lVklPq+WvufU3bflLeJAKONXoDlZc41uBza8LA3btJxmrtJlO7pVHkRu27sKs0CrqFudF3W9WpZyruCpteRdWpN6i9'"</definedName>
    <definedName name="_AMO_SingleValue_30194841_TaskState.5" hidden="1">"'Vus6YgtVzGooNldwSX6fniYEt5d8eC98CFzUuvqj9a6sDgTNly4UuKu9q/bVc1ei72c6LGfEz0OcqLHYU70OMqJHsc50eMkJ3qc5kSPck70ULvDL61JKdIo5rf36x7FBzzaxi//vBSX30DL3xFpyFF5aq0ULY/a7l1bm7ZDYfZfiz4rLsGWOuVU1u7eqjqIIykoXvFanvSecw+fM6Q2TMoqPnexrLhbo3nQbr8XKfEQ1YTUc5TRmNKYehlM'"</definedName>
    <definedName name="_AMO_SingleValue_30194841_TaskState.6" hidden="1">"'7WlUaVQljqp9jSqNqsRRdaBRpVGVOKoONao0qhJH1ZFGlUZV4qg61qjSqEocVScaVRpViaPqVKNKoypxVJU1qjSqXmAVdFfjSuNqJa7WUa7fRbT3LsNd11M1r/Bss875vbZn1RMSstiR9ntCRBa6CGT8yEx6i5afz5FNi6y6q1pfI+C8q2D1WGP3/U3HmyoNuc7mvrWS3IgTT9Y675fNuBPPlru1+vtduXrJ5wukeK8mUXrUqc/3Eg0dXJQ'"</definedName>
    <definedName name="_AMO_SingleValue_30194841_TaskState.7" hidden="1">"'9LfzO8C9618DsPXbJAmskyxZc9z5JP+VMcfclr5bXtO4q6zbyBO0ZqJO9etp5D9WcbZE+Jtq10zc4e2QdR8xPXHX74OH5SPKq8PSunV6mtvFg08TD5EvH0NKXiUhL3HN1rr2a9moZezVv/KP9m/Zv8f2buLvmDBad4+gzvnXt47SPy9zHrZrtaj+n/VwSfq7B985rH6d9XF58nFxZ1P5N+7dN/NsVbLvhp1mLe6fb2sNpD5e5h/OukIf3cf'"</definedName>
    <definedName name="_AMO_SingleValue_30194841_TaskState.8" hidden="1">"'7P2ehD1wmJp2rItXRZy/bd7f5+I0+9O/0dN/VkiDP6g/K2t5buntZr2EOJNi93tm0Yn67ectBGnX1x+fFw/nvZJ8f3xUG6r/Oe0bxmkKS87JqXHD7ev1yVvaqBtBHTPYTqsc4ncYia3Ank12T9e0v+5GXa4M68OqXk8sXhrFQlOpYXiVYXdjkntu3UdgAfOyYoePgUWPs+j6KPgSNTOEkXPCIaSJuw3lEklNbUjT3iL3vQsLV4TeINJzVX/'"</definedName>
    <definedName name="_AMO_SingleValue_30194841_TaskState.9" hidden="1">"'ODk5i45YeodM6a4Bz6UDd/AqQWvZOep3u/MGSF9ZuogfaV/rGb70mP826Vvkb/8RJyZWc+N2NwfTLs7oJya9sramfJvk/vG3Jx9yJmPf8wl3gnz7OBR47fVOGNNe0bjbXV3C/ilvxQixHMiw+LB73mSXnTU0Q9Em9SowjW/jBJJ0SL1PqAFeypbW7cWcw+a1mPF3cdWtbWwe2rh2789gp+vJNp3wk8W6rliTIWMrxxVF6Cd5CdrP+y7jIo4'"</definedName>
    <definedName name="_AMO_SingleValue_37461558_TaskState" hidden="1">"'Partitions:11'"</definedName>
    <definedName name="_AMO_SingleValue_37461558_TaskState.0" hidden="1">"'SASUNICODE7V1bb9pIFD7PK+1/QFmpD1U3JITctL2IQJpUpYQFkmqfECVki5ZLCqZttNr/vt+c8fgGNrYxtoNGCLBnzpzLzOczZy62X9M7+kljGlGBvtOAZjSnIU1pQm9ojw5pnw7wX0DOhPpIv0fuhP7m3AUZ9EC/0xmO39Fb+pV+odfUoR54/IMyExyNUVLQtkE9xqcHCU/IE1RfIHUA2j1LtqAsQ+YRy1WyBb+xyaWC7z5d0hV+laQ5j'"</definedName>
    <definedName name="_AMO_SingleValue_37461558_TaskState.1" hidden="1">"'mvMqQ8eQ/Ad0CuUu/PYcwy6Q/A8sLgLqio0G8GSBWiFrhP8Cstm4D5iiibOha5D8P+I3CdInkLugLkKaceogwHqog/Nv9A5fstUgqxznO1ZNXPH1g8ty6vgMuKjPuRJLb21ZuDMwFkXltf4uGfymQdwdnPps23f2CZZn8LeBueJ8z7O53ymJMxR0jD1E+02YbpiSHkzlPuRiqQWS/rOchZIS0OmYaWLNjP4KF25Ey6dhsxHvia+p4gdt8TD'"</definedName>
    <definedName name="_AMO_SingleValue_37461558_TaskState.10" hidden="1">"'U36+UN8VaSpsfOLYugDtJD9Z/2HfYrWPMyeqDXKO7joknyI3N2tPvTcg+tuy9lFDIxqZI3z57i+vv49nkTeSia+zl9OyxqUVcaRf+xQtfm/pfw=='"</definedName>
    <definedName name="_AMO_SingleValue_37461558_TaskState.2" hidden="1">"'DGSWMpB5lIHMcgYyjzOQeZKBzNMMZJ5lIPM8E59wkJJU0Sv36SvSRMSTlpf/ipILcBFS783oaNtSvyG+EN+0rVVys6nrJ+R1zd8sZW/L+mKoiFNRNzlue+SY2YBm0aJTVdoZlXo5ypj/E9LcfOz0Pc6RVu7zxz1u8I4a7JGBpPaOAgSNwSWErmN8BW2RXnJU3+O6LqDUkHWZWGOFAiiK9IJ+w9ioRn+YRxUcrYr+Xq2klFJkhBpNhjeqfUP'"</definedName>
    <definedName name="_AMO_SingleValue_37461558_TaskState.3" hidden="1">"'/Uh05Fxj31HH2AtfMAjQGl7KP/wvUxImTaPos+9+XK+kK+Mj2Cq+xP6cCt53XG4bnXAhhy/nOWHK2M5ac7owlJztjyfHOWFLeGUuOdsaS0s5YcrgzljxfO5yznc/BCnfM7o2ZL3A25dl5Z8SsqBpsxYDj3b41L/wBtBUzahfz6mq8ICTJqFKONGfWnKm//AbPjvvJr3DqCHQiipybGtQ5Rh7weMU+lmOYKddPePk3OFajjzrLMGLr4q+Bku'"</definedName>
    <definedName name="_AMO_SingleValue_37461558_TaskState.4" hidden="1">"'6UNg8cLTkp3fpUkVenW4xnGiFt9ufVQt7njbk0UTdXwOGmfK6BrBo+l6EtK0ao0WKoto+HUxsFTXx7kD4wRz9GiggN0iIdbL5HC7bg+zobY0H4tvB80sNBsL+8Rul7pKmx/zW+PU6ZBfqHZNpfSa3gfGbN9aSLgAau3iTaX3i5Bn4rOcRAsC9QrdDhHriXci+1SnpaLX/Drb9py1/Bg1TAqUZdWHGDbwU2Py8M2LWfZKzSZjq5PyKK3LB1F'"</definedName>
    <definedName name="_AMO_SingleValue_37461558_TaskState.5" hidden="1">"'2aGVlG3OC/qHgNVyjmLq9KWV95F6h1av8WajtlyFYMKmoMVXKLvgQhTwrsTInj/w4g5qXn1B2teWJwJG967UuLO/K9bSc9ei8Oc6FHKiR5HOdGjnBM9jnOix0lO9DjNiR5nOdHjPCd6qB0B29akGKkX81sHdvfiQ+5t45d/WorLb6Hln4g0ZK/8aM0ULffa7lVbm7ZDYdZf931mXIItdcqprF29VXUQR1JQvOK1POk15z4+F0htmJRVfLqx'"</definedName>
    <definedName name="_AMO_SingleValue_37461558_TaskState.6" hidden="1">"'rOiu0Txotd+LlHiIakLqJcpoTGlMbQdThxpVGlWJo6qkUaVRlTiqjjSqNKoSR1VZo0qjKnFUHWtUaVQljqoTjSqNqsRRdapRpVGVOKrONKo0qhJH1blGlUbVFmZBDzSuNK5W4mod5fpVRHvtMty+nqq5w7PNOud3b8+qp2JksSLt91SQLHQRyPiRmfQWLT+TJZsWWXUnvd4j4LyrYHVfY1/7m/Y3VRpxnc19ayW5HieerHXeL5t+J54t3bX'"</definedName>
    <definedName name="_AMO_SingleValue_37461558_TaskState.7" hidden="1">"'6++1cveLzBVK8u0mUHnUa8L1EIwcXZU8LvzP8i6traF49dskCayTLFlz3Pkk/5UxxX0teLW9o3S7rNvIE7QWok9097byHas62SB8Tbe/0Lc4eWMcx8xO7bu89PB9I7gpPb+/0MrWNB5smHia3HUNLXyYiLXHP1aX2atqrZezVvPGP9m/av8X3b+LumgtYdImjD/jWtY/TPi5zH7dqtKv9nPZzSfi5Bt87r32c9nF58XFyZlH7N+3fNvFv17'"</definedName>
    <definedName name="_AMO_SingleValue_37461558_TaskState.8" hidden="1">"'Dtlp9gLu6dbmsPpz1c5h7OO0Me3sf5P2djAF2nJJ6qIefSZS3bd7f7+408Xd3pr7ipJ0Nc0F+Ut7W1dNe0nsMaSrRxubNtw/h09WaLNurso8uPh/Pfyz45vi8O0n2d94zmNYMk5WXVvOjw8f7lquxVDaSNme4+1BXrfBKHqMm9QH5N1r+/5E+20wZdc3dK0eWLw1mpSnQsLxKtLuxyTmzbqe0APnZMUPDwKbD2A+5FHwJ7pnCS3nOPaCBty'"</definedName>
    <definedName name="_AMO_SingleValue_37461558_TaskState.9" hidden="1">"'npHkVBcUzd2j7/sQcPW4g2Jt9rUXPGDk5u75JSp98yY4gvwoWz4DE4teCU7T139zpwx0memDtJX+sdqti8tQc+yo/wdKJafiTMza7qxAf970/YOaB9Nm2UNPfJvk6+PuTkCkaMf/7hLvAvoycGjxm8pcsab9qjG2/LuVvBL3xYqxLMiw2LC75mSXoTUcS2IVqlRhet+GSmSokXqPVAL9la2tm4t5h5EhcGL+0pb1drC8kcL5f4tEvyUJdHC'"</definedName>
    <definedName name="_AMO_SingleValue_390982613_TaskState" hidden="1">"'Partitions:13'"</definedName>
    <definedName name="_AMO_SingleValue_390982613_TaskState.0" hidden="1">"'SASUNICODE7V3pb+I4FPfnlfZ/QF1pPoxmS+9Dc4nSazQt7UKno/2EKKUzaLmGQGer1f7v+/NznMOJQxJCAqwVAYnz/C4/P7/nOOYd+8j+Zn3WYyX2zDpszCzWZUM2YO/ZBttmm2wLvyXcGbA2yh9xd8C+0d0pm7An9js7wvlH9oH9yn5h79gdawHHX6gzwFkfNTlsA9B9HC1QeME9DvUAqh3Abji0OeQeaO4SXUmb4+vbWCr4bLIzdoFvS'"</definedName>
    <definedName name="_AMO_SingleValue_390982613_TaskState.1" hidden="1">"'cnC+SlhagNHF3g77A3q3Svy7ANuGzi3HOwcqgrOepBkCljO6wDfXLIxsPcI4hbXnNcu8H/G3RdQHoJuh7ByavvQQQe6aIPzB3aM7z22A1rHuNpwNHNP0ncdyavA0qOzNugJLlWtTXA1wVUTkp/SecvGY0Vg9mNpk2w/SCahTy5vje7x6zauLbqSFCzUnNj88XYbEFw5Jr0x6v3MhVKdKD0TnSnK8qA5ccp5m03oLF+6A6qdB80R9YnnHG3H'"</definedName>
    <definedName name="_AMO_SingleValue_390982613_TaskState.10" hidden="1">"'6utVadSZoKxPcI8aeP0uRdzSNiLx3RL/7YC/XYyNNu2Ve+U5ePL7x6aTl/NsdxH4xT7TWWBWLcz9z5cmHRP6np+ObAUXa1YY+Z7M/pmC7Gioes9SI0ntWE+7HLtXur5TRgXJ+q5bz++JZWkjAo8b45cUPCXiXnjjp8hIMx6lc/LHE5QNie/ZFKbk/6+cHCVsT3lV59E6dCP9YOQUV9s31MtPfXmDF5u/pvAJG3Yu8YD+IWX9Ckx1RCPuPTn'"</definedName>
    <definedName name="_AMO_SingleValue_390982613_TaskState.11" hidden="1">"'qe+/0UT62eRAxkj5Hc2OoA0/de9wN7oE3tlujlhL3oy3zHeBGtqxCMyP6vqV+YtlzfGJ+UZ9nueO71G5DyS9dT6K2uF/7cdrEOw6IvHZKvbQW0BLn79muU6HPCEc2rclL73DwPUxHHl2r3CVpxbg4Z7WexMBrCVuI1vqi+hofReL2NN0/AKgtdQVPxO39lFXIqoMtJiDqTP6f9ZTGBJdbPxeW0rJJemFYO3CZR47XSKfzOvWcIe3R2GbeaF'"</definedName>
    <definedName name="_AMO_SingleValue_390982613_TaskState.12" hidden="1">"'b2uWvWIlkebHyujcf5H+5NXHk9hZvZWlRT7M9r2XqT/7GZ/P++N6GhHpP/aCj+vVwdZ9NJpGaE6XlWMQU53gnJx3XtU3bwfWD/AQ=='"</definedName>
    <definedName name="_AMO_SingleValue_390982613_TaskState.2" hidden="1">"'T3G7AJo7BdDcLYDmXgE09wugeVAAzcMCaB4VQPO4EJ+wlRNVPiq32XeU8YgnLy//HTWnwMKpPtrR0fxUy7GiDwl9S2P4iOKnCeKdZJGKrO2NUFSMJ7gaUtTpxXKCO3Uq7wDjkGA5Pl7ria77TvmGJ+Ic0+gvY8A6vsf4LVGM9kKYJYxfK+ekWWtGXRdK1alOKp3UNziX+rvCr4UrVY/fKaa5onbqEF1XUm99K7IFvZB+CheoMQRuLhOXxyI'"</definedName>
    <definedName name="_AMO_SingleValue_390982613_TaskState.3" hidden="1">"'q/M6TRk49rpp9bimYJqHaLifgP6jbMN0lsy5pOTf4fiTYCrV5h3qayGtW0apELnWNMr+8bvkG3REeY5MOfz6mZmNuxiWg1eyKw0yoBu/3fXw4bJm9pmypRd6yhFpd4mXg5GAlQJTZK/Ybcs5T9tY+q+AsLKp+EwopqIjIPxkNNVt4z/6BJVWg3zP8vgfkD5QPQf2t7/zfSE68PjcZP8Fx7XUoXAmHaK/4HOsxlajt1FEmPuZSDFmO10aSo7'"</definedName>
    <definedName name="_AMO_SingleValue_390982613_TaskState.4" hidden="1">"'WR5HBtJDlYG0n210aSvbWRZHdtJNlZG0m210aS1ZXDO4u8ClL4o+p4GcKQZv4ffTnX6uQB4TJJqGvKfjohEeo6SlsjO+xQxtJ2nph8AmzFzjafiVMxe8J5EXmBP3tdPa3U6GmWTisVKu0BzqIMWujFO9fgnot5piH1O31On3yGIz4veg6ynA+p4t4V+4L+UYspsx5XHfe+zo3lFrq5gH+bF88l7P0Ux1lsyfKboYm2U9cKbvFp0RyN8FmTH'"</definedName>
    <definedName name="_AMO_SingleValue_390982613_TaskState.5" hidden="1">"'C00iot8bPMcLVjHmHo3ty3wMTM+nsXZgTv3dkG1poAN177wB3Je2a0XnMuS6wAasPXPNLcl5rXEfPiAZBwqM6kqzw2CEnOAfn50fHhr+MePVzRb/9aZHb13Zpz43FiXRqISzQl9I7ig7oM6SjcKXoIax+Sdo7rEdcvGv44jv5RZzPb9X6SVs66qvLO81OroIb7flrqo4HrsPL3L13PXMOrO8reznpdExyw1fFeWwKMnG9ll29xRntbKOeYM'"</definedName>
    <definedName name="_AMO_SingleValue_390982613_TaskState.6" hidden="1">"'o56XPdyQTcw7jl+gl1WA6ZQ1IcUNPhXIvFo24Go/y8xDP4JH042ruzjPxCW0fIad7Lm5rOUdp2RZcN1bjyKLCs45p32SXOa5HGYrBEvyFYhxaqjrEKNXH/YIk1zJ8OQ8PeRXXIZzX0na9RWz1rEVz8X2kvCxsyR87C4JH3tLwsf+kvBxsCR8HC4JH0dLwsfxkvAh1+MtmpNyolFMt9rOP4p3abRNX/8lEJd/AZd/INIQo/KIydno4KjtXyf'"</definedName>
    <definedName name="_AMO_SingleValue_390982613_TaskState.7" hidden="1">"'nwt55Zjb0q3Q2NfOn0ZJ66fC1T9FrfKQO0lCKildUybNemdTGcYLSmg1ZxdFMJUVzBudR6ytVS0lnUbegeoY6xqaMTS3GpraNVRmrytyqdoxVGavK3Kp2jVUZq8rcqvaMVRmrytyq9o1VGavK3KoOjFUZq8rcqg6NVRmrytyqjoxVGavK3KqOjVUZq1rALOiWsStjV6F2NQty9lNE99llvHU9VXu9doN4Xt61PWF7UhXxRFq3J1cRvHDL+F'"</definedName>
    <definedName name="_AMO_SingleValue_390982613_TaskState.8" hidden="1">"'kY9ToL7ohWzBqBsN1zirGNsB11zGoF79tK4aOe64XmHfmqrEc6s7RayW7sS0drlh8uZgRMJ0tzJv+6NbS6d3JcPq5Yh96c7HmwBNf/98gL+2uWiCNRt+R7V1d4TG+Jvy+pXN6w2bsoiZ1++H5S2a7j9r4xmn79/hdcyf2sOD6+/vdRwanbjWlxq7iD0MH3j8opbXLR0bzwZTzm4+9ynhmvZrxawV5NjcSMfzP+Lb1/4+/5nECiM5x9wufK+'"</definedName>
    <definedName name="_AMO_SingleValue_390982613_TaskState.9" hidden="1">"'Djj4wr3cWF5t/Fzxs9l4edqtCeH8XHGxy2LjxNznMa/Gf82z1OnKnpglV0y/hb3hYnijIeb28OpWPQ7hnRQf8j4/iBifltI7r77ru/Lq9vj7tDXbuDJGkzsm9AwPc70uMJjCvWZVPyoYt17d/5P2+WuMCfsT7Zsz9XzfZ69Ck8tk82Eeds2jk9X95JzrT6e/w765PS+OIr3Wd4zmdfUU0rmha6Z+C+9rmeHnXNP/rAaO7CVE+pxOXxc2TMG'"</definedName>
    <definedName name="_AMO_SingleValue_398675413_TaskState" hidden="1">"'Partitions:13'"</definedName>
    <definedName name="_AMO_SingleValue_398675413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398675413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398675413_TaskState.10" hidden="1">"'MNxdIs7de00Jf7EWie+arbDr0/hiPE3bXn9ZnYMnby/Xno2uiDGLReCXu4XngVn3E84/MbT5mPL3/HRULThY88Iodtb2jvfkRyOtrYVrrJq45Ti9lIq/0rUvp5y3z1N3WxF4nGyqouGpMPey37uP9CzJKJ1yzzfFvRHznYZCNUY3Tq7kjz2TavGKW9ixJ/NyY/OWlO1xzc7GvsA2lQyfgamJeM55puIm95MB7k9sHmSUGZ7lOlHoNvjcc5W'"</definedName>
    <definedName name="_AMO_SingleValue_398675413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398675413_TaskState.12" hidden="1">"'fHcMYJLC4pdzu2bN2pf6BL/2+469CQkFG2R/nfvnpfmk0iPb/OzrOOyc/xVkC0HVY/1Rm+d/Qf'"</definedName>
    <definedName name="_AMO_SingleValue_398675413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398675413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398675413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398675413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398675413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398675413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398675413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398675413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416626384_TaskState" hidden="1">"'Partitions:11'"</definedName>
    <definedName name="_AMO_SingleValue_416626384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416626384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416626384_TaskState.10" hidden="1">"'gVuyx7K1dWux8KAqGmbc7c2vvoXtjxbWg+sk/Dlroo5n/ISxgSveVOj4yBF2CdpJfrIGor7Hbh9nTmQb5BzjdUk+R3Jhlp96c0j89+Xto4TGNDZn1uTb/7xeP5lF3ngmuc5eTqsaV3yiyaD6KVv83tD/'"</definedName>
    <definedName name="_AMO_SingleValue_416626384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416626384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416626384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416626384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416626384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416626384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416626384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416626384_TaskState.9" hidden="1">"'ie27dROCB87Jih5+JRY+yH3og+hPVM0Se+4RzSQNmO940gorykbu8df9aBRS/GWxBut6q74wcnNnXPG1HtmTPEF+FA2fAanNrySfU21fueVCdLnpg7SVwbHarYvrUDPM5zZHO5As/pErLlZ1s2NJNyb9ndB/WjaLUvpkX9b3EYW5rhfzjkEx17iXWBPDh51fkuZM+a05xK8te+uiaD0bSFDPCs2Ki6CninrRUkD7UHUS52qXPqraJEUbVLv'"</definedName>
    <definedName name="_AMO_SingleValue_472893794_TaskState" hidden="1">"'Partitions:13'"</definedName>
    <definedName name="_AMO_SingleValue_472893794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472893794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472893794_TaskState.10" hidden="1">"'MNxdIs7de00Jf7EWie+arbDr0/hiPE3bXn9ZnYMnby/Xno2uiDGLReCXu4XngVn3E84/MbT5mPL3/HRULThY88Iodtb2jvfkRyOtrYVrrJq45Ti9lIq/0rUvp5y3z1N3WxF4nGyqouGpMPey37uP9CzJKJ1yzzfFvRHznYZCNUY3Tq7kjz2TavGKW9ixJ/NyY/OWlO1xzc7GvsA2lQyfgamJeM55puIm95MB7k9sHmSUGZ7lOlHoNvjcd5W'"</definedName>
    <definedName name="_AMO_SingleValue_472893794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472893794_TaskState.12" hidden="1">"'fHcMYJLC4pdzu2bN2pf6BL/2+469CQkFG2R/nfvnpfmk0iPb/OzrOOyc/xVkC0HVY/1Rm+d/Qf'"</definedName>
    <definedName name="_AMO_SingleValue_472893794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472893794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472893794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472893794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472893794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472893794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472893794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472893794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539372770_TaskState" hidden="1">"'Partitions:11'"</definedName>
    <definedName name="_AMO_SingleValue_539372770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39372770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39372770_TaskState.10" hidden="1">"'POGnDPVc8aZCx2eOsAvQTvKTLRD2XVa7OHMi2yDnGK9N8llyM7P+1NsDor8zaxc1NKShOc6XbwDzev14Fnnjmfg6ezktalxaEk36tU/R4vee/gc='"</definedName>
    <definedName name="_AMO_SingleValue_539372770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39372770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39372770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39372770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39372770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39372770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39372770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39372770_TaskState.9" hidden="1">"'Y4iobiibuwef9GDhq3FGxJvtam64gcnN3fJCVPvmDHFV+BD2fAFnJrwSnaeuvqdOSOkT00dpK/0j9VsX1qCngc4szncgWbxqThTs67ra0m4N+1vg/rRtFvW0iP/NvgamZmjEDkC8o+9xPuAnh08qvymImfMaY9svK3vbgm/9E0hQzwvMiwu/J4r6UVJDdeDaJcqlbn2F9EiKZqk3gU1Z49la+vWYuZBVTjMuK+3Ze0tbH+0sO7fJsHPWhJt'"</definedName>
    <definedName name="_AMO_SingleValue_572615156_TaskState" hidden="1">"'Partitions:11'"</definedName>
    <definedName name="_AMO_SingleValue_572615156_TaskState.0" hidden="1">"'SASUNICODE7V1bb+I4FD7PK+1/QKw0D6NZKL1XOxdR6GU0DGWBdrRPFaV0By2XLoTOVqv97/v5OM4NEpKQJimyEJDYx+difz4+tnN5T5/oHxrTiAr0RAOa0ZyGNKUJfaAiVahEO/gvIGdCfaTfI3dCf3Luggx6oF/pGMef6CP9TD/Re+pSDzz+QpkJjsYoKWg7oB7j04OEZ+QJqjtIHYC2aMkWlPuQucdylWzBb2xyqeJbojO6wK+SNMdxn'"</definedName>
    <definedName name="_AMO_SingleValue_572615156_TaskState.1" hidden="1">"'Tn1wWMIvgN6h3I3HnsOQFcBzx2Lu6CqQbMRLFmAVug6wa+wbAbuI6Zo4VzoOgT/L8h9huQp5A6Yq5B2gDoYoC760PyOTvC7T7uQdYKzolUzN2z90LK8Bi4jPupDntTSW2sGzgyc3cLyOh/3TD7zAM5uLn227W+2SdansLfJeeK8j/M5nykJc5Q0TP1Eu02YrhxS3gzlfqQiqc2SnljOAmlpyDSsdNFmBh+lK3fCpdOQ+ch94ilF7LglVjKQ'"</definedName>
    <definedName name="_AMO_SingleValue_572615156_TaskState.10" hidden="1">"'0WyQc0bXJfnkuLlZc+oNBdHfllRCDY1oZM7q5bufvD4+nkXe6CW+zl5Oyxrvrogd/dqnbPH7SP8D'"</definedName>
    <definedName name="_AMO_SingleValue_572615156_TaskState.2" hidden="1">"'uZuBzL0MZO5nIPMgA5mHGcg8ykDmcQYyTzLxCTspSRWjcp++I01EPGl5+e8ouQAXIfXejI42l1oOFX0o6haP4Y8cPxmId6JFKqq0M0LxcpTx31ekufnY6UXOkVaW+OOOIb0RpB0lSmpvRChoDC4hdB3jK2jL9JYjvB63cAGlhqzLxIobC6Ao0xv6BXFynX4zj6o4WhUJvFtJKaXIaCWaDG+E84H+pQZyThEDN3D2Br1iARqDS9nH/wVq4sR'"</definedName>
    <definedName name="_AMO_SingleValue_572615156_TaskState.3" hidden="1">"'JNH2W++LblXQFfGR7hdfYn1OB287bM8JzLoSw5WRrLDneGkuOtsaSw62x5GBrLNnfGkv2tsaS3a2xpLI1lrxeO5wrX6/BCnfM7o2ZT3E25ZVaZ8SsqJpsxYDj3b61RvgZtFUzahdrrGq+INdcRVQpZx0za/3MX36TV0r95Fc5dQQ6EUXOTQ0aHCMPeL5iH8s5zJTrJ7z8Kxyr2UeDZRixdfHXQEl3SpsHzpaclG59ashr0DXmM82QNvvzai'"</definedName>
    <definedName name="_AMO_SingleValue_572615156_TaskState.4" hidden="1">"'Pv28ZcWqibC+BwUz6XQFYdn7PQlpUj1Gg5VNvHw6mNgha+PUgfmLMfI0WEBmmRDjbP0YJt+L7uxlgQvi08n/RwEOwvL1H6Hmlq7n+Jb49TZoH+IZn2V1KrOJ9ZK0zpIqCJ3ptE+wsv18RvNYcYCPYFqhW6PAL3Uh6lVklPq+WvuPU3bfkLeJAqONXpFlZc4VuFza8LA3btJxmrdJhO7pVHkRu27sKs0CrqNudF3W9WpZyruCpteRdWpN6g9'"</definedName>
    <definedName name="_AMO_SingleValue_572615156_TaskState.5" hidden="1">"'dus6ZgtVzGooNlZwSX6fniYEt5d8eC98BFzUuvqD9a6sDgTNpy7UuKu9q/bVc1ei0pO9NjNiR57OdFjPyd6HOREj8Oc6HGUEz2Oc6LHSU70ULvDL61JOdIo5rf36x7Fhzzaxi//vBSXX0PL3xFpyFH50VopWh613bu2Nm2Xwuy/lnxWXIItdcqprt29VXUQR1JQvOK1POk95z4+p0htmpQ1fG5jWXG7RvOg3X4vUuIhqgWpZyijMaUx9TKY'"</definedName>
    <definedName name="_AMO_SingleValue_572615156_TaskState.6" hidden="1">"'qmhUaVQljqpdjSqNqsRRtadRpVGVOKr2Nao0qhJH1YFGlUZV4qg61KjSqEocVUcaVRpViaPqWKNKoypxVJ1oVGlUvcAq6I7GlcbVSlyto1y/i2jvXYa7rqdmXuHZYZ3ze23PqickZLEj7feEiCx0Ecj4kZn0Ni0/nyObFll1V7W+RsB5V8Hqscbu+5uONzUacZ3NfWsluREnnqx13i+bcSeeLbdr9fe7cvWCzxdI8V5NovRo0IDvJRo5uCh'"</definedName>
    <definedName name="_AMO_SingleValue_572615156_TaskState.7" hidden="1">"'72vid4V/0rqHZe+ySBdZIli247n2SfsqZ4u5LXi2vaN1V1h3kCdpTUCd79bTzHqo52yJ9TLRrp69x9sA6jpmfuOr23sPzgeRV4eldO71MbePBpomHyZeOoaUvE5GWuOfqTHs17dUy9mre+Ef7N+3f4vs3cXfNKSw6w9FnfBvax2kfl7mPWzXb1X5O+7kk/FyT753XPk77uLz4OLmyqP2b9m+b+LdL2HbNT7MW9053tIfTHi5zD+ddIQ/v4/'"</definedName>
    <definedName name="_AMO_SingleValue_572615156_TaskState.8" hidden="1">"'yfszGArlMST9WQa+mylu272/39Rp56d/o7burJEKf0B+Vtby3dPa3XsIcSbV7ubNswPl295aCDOvvi8uPh/PeyT47vi4N0X+c9o3nNIEl52TUvO3y8f7kae1UDaWOmuw/VY51P4hA1WQzk12L9+0v+5GXa4Na8OqXs8sXhrFQlupYXiVYXdjkntu3UTgAfOyYoePgUWPsBj6IPgSNTOEnnPCIaSJuy3lEklNfUjT3iL3vQsLV4ReINJ3VX/'"</definedName>
    <definedName name="_AMO_SingleValue_572615156_TaskState.9" hidden="1">"'ODk5i45ZeqiGVPcAR/Khm/g1IZXsvNU73fmjJE+M3WQvtI/VrN9acVR9ga5y8/DmZm13IzJ+960uQu6R9NWWTOP/NvifjE3Zx5y1uMfb4n3wTw7eNT5TTXOONOezXhb3F37fukvhQbxjMiwWPB7lqQXGQ30AdEidapyvS8jRFK0Sb0LaMFeytbWrcXcg6R1OHH3rlUtLax+tJDt3xrBT1YSrTvlZwr1XdGlwsVXjqcL0E7yk3Uf9i1GJZw5'"</definedName>
    <definedName name="_AMO_SingleValue_576762798_TaskState" hidden="1">"'Partitions:13'"</definedName>
    <definedName name="_AMO_SingleValue_576762798_TaskState.0" hidden="1">"'SASUNICODE7V1Zb9tGEJ7nAv0PggvkIUgt3wdyQZavILbsSo6DPgmKLCdGdUWUnRpF/3u/neWK5PKmKFJKF4Qocjk7187Ozh5cvqH39DcNqE8VeqIeTciiBxrRkN7SGm3SOm3gv4InQ+oi/Q5Ph/SVnz7SlO7pdzrA9Xt6R7/SL/SGbqgDHH8hzxBXA+QUsC1AD3B0QOEZzwTUF1DtAXZtRltA7oDmNtNVtAW+gY2lht86ndAZzoqShetjx'"</definedName>
    <definedName name="_AMO_SingleValue_576762798_TaskState.1" hidden="1">"'tQFjgfg7dEr5LvV5NkF3CZwbsywC6g6OOtDkkfACl6HOAvJJsDeZ4hr3AteH4D/I54+g/IIdHuMVVDbhQ560EUXnH+hQ5x3aAu0DnG3NtPMLUv/MJO8Dix9vuqCnuRS19oUd1PctSH5MV93bDxWBGYvli7L9p1lkvoU8jb4mbjv4t7iO0XBQs6pzZ8otyHDVRPSmyDfj0IoNZnSE9N5RFoRNKezdFFmU74qlu6QcxdBc8x14qlA2/FS3CyB'"</definedName>
    <definedName name="_AMO_SingleValue_576762798_TaskState.10" hidden="1">"'AcPdJeLcvdeU8Bdrkfiu2Qq7Po0vxtO07fWX1Tl48rZy7dnoihizWAR+uVt4Hph1P+F8iaHNx5TP89NRpeBgzQuj2FnbO96THw1d73lqJK0dh9OuJq6VTguoYrt0ddfJ521PVWorAo/TU6toeCrMvWxT7yO9VjJKp9yqTpE2Yr7TUKjG6Mbph/nj2qRavOLae+zp1bmxeXPKur5m9/S+wO6VDJ+BqYlY0XmmYjL3kwHSJzYPMoIN70E7Ee4'"</definedName>
    <definedName name="_AMO_SingleValue_576762798_TaskState.11" hidden="1">"'2+Nx25b8FhH+Xwomt6cYc+O9s2W8AO7Zllhoa8/ma64Flj8TKUeDw3rAThSktt7RRAMdT6CXvLYUkZeP283L04ZFrYcOnKcHfk52nxr8xjnxKVaTe4BA7zY5d+ta5S1OSSXHGlZ7CIHJJe4jW+qLqnGglkta4sO806CV1AU8jbP6YamzZ/hKTEE1SX5F9ZJ/vcOvlwtJKNm1tDCoLIfd45kGy6b3JtWfEu2l2yd3vUPXukjoszxcbn2PnSb'"</definedName>
    <definedName name="_AMO_SingleValue_576762798_TaskState.12" hidden="1">"'6Au447t8dwxiAszil3UrZs3amv26X/0u46NCRklPVRfjdYb0uzSaT33bPzrGPyc7wVEMmHlU91hu8d/Qc='"</definedName>
    <definedName name="_AMO_SingleValue_576762798_TaskState.2" hidden="1">"'5lYJNLdLoLlTAs3dEmjulUBzvwSaByXQPCzFJ2wURFW0yl36hjQR8RTl5b8h5yOwCKp3dnQ0P9VqouhDQV9zGz7m+GmKeCddpKJyuyMUHeMR7kYcdbqxHOFJk9N7wDhiWIFP5Lrn+8Esfc0VcU649VcxYBPnCf4rHKM9M2YF49XKKWvWisnrQOk6DZMqTOorXCv9XeDfwp2ux28c01xwOfWYriOpO78VWYJuSC+FM+QYAbeQSchjMRXx5D5'"</definedName>
    <definedName name="_AMO_SingleValue_576762798_TaskState.3" hidden="1">"'EznBcDfva0jBNA7VdTcG/X7dBuktnXcpyrnC+Y9gal3mPa5rs16yiVcm+1CXSvPI66Wv8RHqMdT68/TG9N+b0uCS03rsSMFPOIer9AD8BW6WX3FvqsLesINcD8zKc9cEqgKjSC/oNfc5jem1f1XAVFFW/CoSUVGTkn46G3lt4S//AkmrQ7wn+3wLyO9JHoP7ac/1vJCdun5uOH3+79jIQroJDllclAZ7DXLAc5IJlPxcse7lg2c0Fy04uWL'"</definedName>
    <definedName name="_AMO_SingleValue_576762798_TaskState.4" hidden="1">"'ZzwbKVC5bNXLBkw+EemYjD4PWSyTz+iEdy7jxt6Or49WCZFNQlt2a9AI/zM0rbYBvocQvUnY2AfQBszY4enphTGQ3LEcWOLxpZPa00eHQyTCs1Tu0DzuKISOrFHTs617LfMOJYJzxGSx+xJuclnIM849s6nl3QJ9SPRkKZw3E18ezz3FiuoZszxBjz4jmHvR/jOEksWXERd7SdOlZwjV+HY27ps6YFWmgUF8XY5ilKsIn27GZuW7jgmZCke'"</definedName>
    <definedName name="_AMO_SingleValue_576762798_TaskState.5" hidden="1">"'BZnB05f6oxzPQI2WPvSH6hxAiefv2+i5nVasPWP3FeR/RQ5vjFkGUdaz1jnucVQsk/n5SeMD3cOb/vxgkdfXs96u7ezHoTo6zxwS1ThGP8rw/l179dRtlbwHNQEJnef4xz3HRv/z9jyK5ll7+3/Iq3qRevyxnmp1dFDcr+tdFHD/WQ2Glus526g1Y3zt3HjX9ExSwPn2hJ49HQtuyqbGx4r6RQccwZRL8oertgm5m3Hz1DLasB0TG1IcYVf'"</definedName>
    <definedName name="_AMO_SingleValue_576762798_TaskState.6" hidden="1">"'DTKvlg042s+z5xHegkfTTaq7JHMcClrNSaSbB1G53O2USvOvY+hzZFHDteB0wJKrfq6A2QjAkn5FSZIc+rqS6NUkfcakZqbuZ6PB4k7IcOpJyTpfFrcuoXwuNpeEj60l4WN7SfjYWRI+dpeEj70l4WN/Sfg4WBI+DpeED7W+YtGcVFO1YmGrJ7yt+AO3ttnzP/vi8k/g8g9EGrJVHpMajfa32t51Dw7sjWtkI3zWdT1k/DRaUjedWuycrdJ'"</definedName>
    <definedName name="_AMO_SingleValue_576762798_TaskState.7" hidden="1">"'BFkpR8Youed4zzV0cR0ht2JB1HO1MUrRjOI9aL6NbSjaLugbVE+QxNmVsajE2tWmsylhV7la1ZazKWFXuVrVtrMpYVe5WtWOsylhV7la1a6zKWFXuVrVnrMpYVe5WtW+sylhV7lZ1YKzKWFXuVnVorMpY1QJGQTeMXRm7CrSrOMj4WURn7jLZup66vV67xTwv79qeoD1GypiRDttjpQxehGX8KI16k/w73JSzRiBoN4RybCNohwSzWsH9tl'"</definedName>
    <definedName name="_AMO_SingleValue_576762798_TaskState.8" hidden="1">"'Jwq+d4oXlbvjr1WWdWqFbya/uy0Yrzw+W0gNlkacfyH7aGNuydHIePC+rxm5N9Fxb/+v8+e2FvzgpzJPNWPO/LS4/pTvHWJZ3LK4rfFUPu3CD2B8l3Hbf7jdHs6/c/4U7tTyLwifW/dxrOsN01FreK2w/tf/+omtEmFx3NS18mYj7xLueJ8WrGq5Xs1fRIzPg349+y+zfxns8RJDrB1Qf8LoyPMz6udB8X1O82fs74uTz8XIP35DA+zvi4Z'"</definedName>
    <definedName name="_AMO_SingleValue_576762798_TaskState.9" hidden="1">"'fFxcozT+Dfj3+aZdaqjBtbpnMRb3GcmijMebm4Pp2MJ3zGkh/wjEvuDyPFtKbnz7nt4XV7dGneDunYFT9YiuW9Cy9Q4U+NKjyn0OankUcXPXruLn21Xu8Ic0Z+0bPPqxc5nr8KsZbqRMHfZJvHp+l5yjtUn899+n5zdF0fxHuc903nNcErpvNAlyW8jPbh22Dl19R9WYwe2ako9roKPE/8/IluEovxe0jYpnXy6T1tVKauaRMGlX+fYYYq0'"</definedName>
    <definedName name="_AMO_SingleValue_576788546_TaskState" hidden="1">"'Partitions:11'"</definedName>
    <definedName name="_AMO_SingleValue_576788546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76788546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76788546_TaskState.10" hidden="1">"'/HyhnivSVNj4zLF1AdpJfrL+w77FahdnTlQb5BzdtUk+RW5m1p56b0D0t2XtooaGNDRH+PLdX15/H88ibyQTX2cvp0WNS0viSL/2KVr83tP/'"</definedName>
    <definedName name="_AMO_SingleValue_576788546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76788546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76788546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76788546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76788546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76788546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76788546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76788546_TaskState.9" hidden="1">"'Y4iobiibuwef9GDhq3FGxJvtam64gcnN3fJCVPvmDHFV+BD2fAFnJrwSnaeuvqdOSOkT00dpK/0j9VsX1qCniVH+TtQLD4TZ2rWdH0N/vem7W3QPpo2yxp65N8GXx8zcwQiRz/+cZd4F9Czg0eV31LkjDftUY235d2t4Je+KVSIZ0WGxYTfMyW9CKnhWhCtUqUy1/0iUiRFk9R7oObsrWxt3VrMPIgKgxf3lbastYXljxbK/Vsk+ClLooUn'"</definedName>
    <definedName name="_AMO_SingleValue_587946619_TaskState" hidden="1">"'Partitions:13'"</definedName>
    <definedName name="_AMO_SingleValue_587946619_TaskState.0" hidden="1">"'SASUNICODE7V1Zb9s4EObzAvsfjCzQh6Ib5z7QC45zFU2crJ2m2CfDcZzWWF+1nGSDxf73/TgURYm6ZVmyu4RgWaKGc3E4HB6i3rGP7G82ZANWYU+sx6bMYn02ZiP2nq2xTbbONvBfwZMR6yL9Hk9H7Bs9fWQz9sB+Zwe4/sg+sF/ZL+wdu2Ed4PgLeUa4GiInh20BeoijAwoveMah7kC1B9g1hzaH3AHNbaIraXN8QxtLDb91dsLOcJaUL'"</definedName>
    <definedName name="_AMO_SingleValue_587946619_TaskState.1" hidden="1">"'FwfE6YucPSBt8feIN+tJs8u4DaBc8PBzqHq4GwASR4By3kd4cwlmwL7gCCucc957QP/Zzx9AeUx6PYIK6e2Cx30oIsuOL9jhzjvsC3QOsTdmqOZW5K+70heB5YBXXVBT3Cpa22Guxnu2pD8mK47Nh4rArMXS5dk+0EyCX1yeRv0jN93cW/RnaRgIefM5o+X24jgqgnpTZHvuRBKTaL0RHQekVYEzZmTzstsRlfF0h1R7iJoTqhOPBVoO16K'"</definedName>
    <definedName name="_AMO_SingleValue_587946619_TaskState.10" hidden="1">"'kDYkuPtEnLv3muL+Yi0S3zVZYden8cV4mra9/rI6B0/eVq7tjK7wMYtF4Be7heeBWfcT6ksMbTpmdJ6fjiwFhTUvjHxnbe94T340dL3nqZG0dhxOu5q4VqoWUMZ26equyudtT2VqKwKP6qlVNDwV4l60qQ+RXisZpVNqVWdIGxPfaShUY3Sj+mH+uDapFq+o9h57enVubN6coq6v2T29O9i9lOErMDURK6pnMiZzPxkifWrzICLY8B60inC'"</definedName>
    <definedName name="_AMO_SingleValue_587946619_TaskState.11" hidden="1">"'3wecWrhWGW8D49ymc2rpuzEXh3pb/BtATW26hpQmdr6kuWPZorBgJDu8Rq0hMarqljQQob6GXvrckkpSP29eLEYhHqokNn644f092nhr9JjjyKVmeeoOD7zY7cWlc5y5NWSbFGVd6EgPPJSwiWuuLqne8pUha68K+1aCX1AW8Dbf6Y1Yj2/aXmIBoMvkl2Ufy+4pbLxeWVrLpa2RQaXDJJ44fyab5JtWfMe2p2WXu3oeseZesQxLd2fiUpS'"</definedName>
    <definedName name="_AMO_SingleValue_587946619_TaskState.12" hidden="1">"'f5Du467txeQ41EWJRT7Kds2dqT37hL/73ddWiIyyhqpPh6sN6iZpNI78Fn51nH5Od4KyCeDyufqoPvA/sP'"</definedName>
    <definedName name="_AMO_SingleValue_587946619_TaskState.2" hidden="1">"'myXQ3CqB5nYJNHdKoLlbAs29Emjul0DzoASah6X4hI2CqPJWucu+I41HPEV5+e/I+QgsnOq9HR3NT7WaKPqQ0NfUhk8ofpoh3kkXqcjc7ghFx3iEuzFFnW4sR3jSpPQeMI4JluPjuR7ofuikr7kizim1/jIGbOI8xX+FYrQXwixhvFo5Jc1aMXkVlK7TMKnCpL7CtdTfBf4t3Ol6/E4xzQWVU4/oKknd+a3IEnRDeimcIccYuLlMXB6LqPA'"</definedName>
    <definedName name="_AMO_SingleValue_587946619_TaskState.3" hidden="1">"'nDyFyhuNq2NeWhmkWqO1qCv79ug3SXTrrkpZzhfM9wdaozHtU00S/ZhWtSvSlLpHmlVelr9ET4THW6fD2x/TemOpxCWi9d8VhZpSD1/shfhy2yl5Tb6lD3rKCXH3iZeT0wSqAqLJX7Df0OY/ZW/uqhqugqPpNIKSgIiL/dDT03sJ79g8sqQb9nuD/PSB/IH0M6m891/9GcuL2uen48bdrrwPhKjhEeVUS4DnMBctBLlj2c8GylwuW3Vyw7O'"</definedName>
    <definedName name="_AMO_SingleValue_587946619_TaskState.4" hidden="1">"'SCZTsXLFu5YNnMBUs2HO6RiTgMXi+ZzOOPaSTn3tOGro5fD5ZJQl1Sa9YL8Dg/o7QNsoEetUBdZwTsE2BrdvTwRJyKaFiMKHZ80cjqaaVBo5NhWqlR6gBwFkVEQi/u2FFdi37DmGKd8BgtfcSanJdwDvKMb+t4dsG+oH40EsocjquJZ1/nxnIN3ZwhxpgXzzns/RjHSWLJiou4o+1UWcE1fh2KuYXPmhVooVFcFGObpyjBJtqzm7lt4YJmQ'"</definedName>
    <definedName name="_AMO_SingleValue_587946619_TaskState.5" hidden="1">"'pLiWZwdqL7UGeV6BGyw9oU/kOMEKp+/byLndVqw9c/UVxH9FDG+MSIZx1rPWOe5RVCiT+flJ4wPdw5v+/GKRl/eOr3dW6cHwfs6fWqJKhTjfyM4v+79OsrWCp6DGsfk7nOc475j4/8ZW34ps+i9/V+klb1oXd44L7U6ekjut6UuarifOqOxxXruBlrdOH8bN/4VHbM0cK4tgUdP17LLsrmhsZJOwTFnEPWi7OGKbGLedvwMtawGTMesDSmu'"</definedName>
    <definedName name="_AMO_SingleValue_587946619_TaskState.6" hidden="1">"'8KtB5tWyAaX9PHse4S14NN2kuksyxyGh5ZxEunkQmcvdTsk0/zqGAUUWNVxzTockuezncpiNACzpV5QkyaGvK4leTTIgTHJm6sEZDeZ3XIZTT0rW+bK4dQnlc7G5JHxsLQkf20vCx86S8LG7JHzsLQkf+0vCx8GS8HG4JHzI9RWL5qSaqhULWz3hbcX71Npmz//ii8u/gMs/EGmIVnnC5Gi0v9X2rntQsDeukY3wWdf1kPHTaEnddGqxc7Z'"</definedName>
    <definedName name="_AMO_SingleValue_587946619_TaskState.7" hidden="1">"'SB1koRcUruuR5zzR3cRwhtWFD1nG0M0nRjuE8ar2MbinZLOoaVE+Qx9iUsanF2NSmsSpjVblb1ZaxKmNVuVvVtrEqY1W5W9WOsSpjVblb1a6xKmNVuVvVnrEqY1W5W9W+sSpjVblb1YGxKmNVuVvVobEqY1ULGAXdMHZl7CrQruIg42cR1dxlsnU9dXu9dot4Xt61PUF7jJQxIx22x0oZvHDLeC6NepP5d7gpZ41A0G4I5dhG0A4JZrWC+2'"</definedName>
    <definedName name="_AMO_SingleValue_587946619_TaskState.8" hidden="1">"'2l4FZPeaF5W746G5DOrFCt5Nf2ZaMV54fLaQGzydKO5T9sDW3YOzmKjwvWozcnBy4s/vX/A/LC3pwV4kjkrXjelxce053irUs6l1csflcMsXMD3x8k33Xc7jdGs6/f/4I7uT8Jx8fX/95rOMN211jcKm4/tP/9o2pGm1x0NC98GY/5+LucJ8arGa9WslfTIzHj34x/y+7f+Hs+R5DoBFef8LswPs74uNJ9XFC/2/g54+fy8HMN2pPD+Djj4'"</definedName>
    <definedName name="_AMO_SingleValue_587946619_TaskState.9" hidden="1">"'5bFx4kxTuPfjH+bZ9apjhpYZ+eMv8V9ZqI44+Hm9nA6lvAdQ3rIP2Z8fxAxvi0kV+++h9fl1a1xN6hrV/BkLSb2TWiZGmdqXOkxhT4nlTyq+Nlrd/Gz7XJXmCP2J1u2efVi57NXYdYy3UiYu2yT+HR9Lzll9cn8t98nZ/fFUbzHec90XjOcUjovdMnEt5H6rh12Tl39h9XYga2aUo+r4OP4/3Nki1CU30vaJqWTT/dpqyplVZMouPTrFDvM'"</definedName>
    <definedName name="_AMO_SingleValue_617623402_TaskState" hidden="1">"'Partitions:13'"</definedName>
    <definedName name="_AMO_SingleValue_617623402_TaskState.0" hidden="1">"'SASUNICODE7V3pb+I4FPfnlfZ/QF1pPoxmS+9Dc4nSazQt7UKno/2EKKUzaLmGQGer1f7v+/NzHCfOQRJCAqwVAYnz/C4/Pz+/OOYd+8j+Zn3WYyX2zDpszCzWZUM2YO/ZBttmm2wLvyXcGbA2yh9xd8C+0d0pm7An9js7wvlH9oH9yn5h79gdawHHX6gzwFkfNTlsA9B9HC1QeME9DvUAqh3Abji0OeQeaO4SXUmb4+vbWCr4bLIzdoFvS'"</definedName>
    <definedName name="_AMO_SingleValue_617623402_TaskState.1" hidden="1">"'cnC+SlhagNHF3g77A3q3Wvy7ANuGzi3HOwcqgrOepBkCljO6wDfXLIxsPcI4hbXnNcu8H/G3RdQHoJuh7ByavvQQQe6aIPzB3aM7z22A1rHuNpwNHNP0ncdyavA0qOzNugJLnWtTXA1wVUTkp/SecvGY0Vg9mJpk2w/SCahTy5vje7x6zauLbqSFCzUnNj88XYbEFw5Jr0x6v3MhVKdKD0TnSnK8qA5ccp5m03oLF+6A6qdB80R9YnnHG3H'"</definedName>
    <definedName name="_AMO_SingleValue_617623402_TaskState.10" hidden="1">"'OSLk5ffijknJ5NN92qpKWdYkCm79KsUOE5T1Ce4xFufuvaa4v9iIxHdLVtj2aXwxnqZpr78sz8GTd5RrOtkVnrNYBH6xW3gWmHU/of65p0nHhL7npyNbQWHNCiPfWdub78mOhq73LDWS1I7DaZdj90o1AsrYLlnfVfW846ksbUTgUTO1koanRNyLMfUp0mvFo3ROo+oEZUPiezaFKY3iV85MM+ifAXSdR+tQzdf88W9cbd9QLz/1zP7c2Lw'"</definedName>
    <definedName name="_AMO_SingleValue_617623402_TaskState.11" hidden="1">"'1hU/YsGeED+gfUtavwFRHTKnuydjNfaeP8rHNg4h0w2faKhLeBZ87uFIY7gHj389wbLdJbS4Kj7b8d4Ae2XILLY3o+5b6jGVnbUXGOHzmrCI2qemGljFQXkVvfW9LxGkf95ggMhVT6rE1n644f892nQp9RjiyaVleeoeD70o7cmlc5y5JW8bFOav1JAZeS1hEtNYX1e/4iBK314X9p4PeUlfwStzqT1mFbNvfYgKizuQ/lE9pfFDcermwtJ'"</definedName>
    <definedName name="_AMO_SingleValue_617623402_TaskState.12" hidden="1">"'ZN3iODWoNLPnL8SDrN16n/DGnvzTZzz1Jkz7tmLZLowcanLD3O/6tv4srtNVTGwqKaYt9ly9ae/O/U5P/jvgkNcRlFjxT/Sq+PvOkk0mf66XnWMfk53gmI+8Pap+zg+8D+Aw=='"</definedName>
    <definedName name="_AMO_SingleValue_617623402_TaskState.2" hidden="1">"'S3G7AJo7BdDcLYDmXgE09wugeVAAzcMCaB4VQPO4EJ+wlRNVPiq32XeU8YgnLy//HTWnwMKpPtrR0fxUy7GiDwl9S2P4iOKnCeKdZJGKrO2OUHSMJ7gaUtTpxnKCO3Uq7wDjkGA5Pl7ria77TvmGK+Ic0+gvY8A6vsf4LVGM9kKYJYxXK+ekWWtGXQWl6zRMqjCpb3Au9XeFXwtXuh6/U0xzRe3UIbpKUnd9K7IF3ZBeCheoMQRuLhOXxyI'"</definedName>
    <definedName name="_AMO_SingleValue_617623402_TaskState.3" hidden="1">"'q/M5TiJzhuGr2uaVhmgRqu5yAf79ug3SXzLqk5dzg+5FgK9TmHeppYl6zilYl5lLXKPPKq8o36I7wGJt0eOdj+mxMzbgEtD674jATqsH7fR8fDltmr2m21CJvWUKtLvEycOZgJUCU2Sv2G+acp+ytfVbBWVBU/SYQUlARkX8yGvps4T37B5ZUgX7P8PsekD9QPgT1t57zfyM5cfvcZPz4x7XXgXAlHKK94nMcjqlEbaePMvExl2LIcrw2kh'"</definedName>
    <definedName name="_AMO_SingleValue_617623402_TaskState.4" hidden="1">"'ytjSSHayPJwdpIsr82kuytjSS7ayPJztpIsr02kqyuHO4s8ipI4Y2q480QhpT5f/TMuVZnHhAsk4S6ptlPJyBCXUdpa2SHHZqxtJ0nJp8AW7Fnm8/EqciecF7EvMA7e109rdToaVaYVipU2gOcRTNooRd3rkGdizzTkPpd+Jw+eYYjPi/hHGSZD6ni3hX7gv5RiylzOK467n2dG8stdHMB/zYvnkvY+ymOs9iS5ZehibZTZQW3+LQoRyN81'"</definedName>
    <definedName name="_AMO_SingleValue_617623402_TaskState.5" hidden="1">"'iRHC43iIh/bPEcL1jGm3s1tC3zMjI9ncXagcm8XVGsK2GDtC38g88qqnj+XJdcBNGDrnym3JfJaIh8+IBmHWiZV57lBUCIH6OUnjA93De/48Yqy9W+d7Oi9k3HiubEujUQlygl9Izi/7v06SjcKXoIax+TOUV3iumXjX8eRX8ossn3/F2ll1lWXd5aXWh09xPfbUhcVXI+dp3f5eu4aRt1Z/nbW85LomKWG78oSePRkI7tsmzuap7VyjjmD'"</definedName>
    <definedName name="_AMO_SingleValue_617623402_TaskState.6" hidden="1">"'qOdlDzdkE/OO4xfoZRVgOmVNSHGDTwUyr5YNKO1nOfMIH8Gj6cbVXZxn4hJaPsNO9txc1nKPU7LMv+6tR5FFBeec0z5JLue5HGYrAEvyFYhxaujrEKNXH/YIk1zJ8OQ8PeRXXIZzT0na9RWz1rEVz8X2kvCxsyR87C4JH3tLwsf+kvBxsCR8HC4JH0dLwsfxkvAh1+MtmpNyolEsbLWddxTv0mibvv6LLy7/Ai7/QKQhRuURk9lo/6jtXSe'"</definedName>
    <definedName name="_AMO_SingleValue_617623402_TaskState.7" hidden="1">"'nYO9cmY3wVTqbIfnTaEnddPjap+g1PlIHaShFxSu65FmvTGrjOEFpzYas4mimkqI5g/Oo9ZW6paSzqFtQPUMdY1PGphZjU9vGqoxVZW5VO8aqjFVlblW7xqqMVWVuVXvGqoxVZW5V+8aqjFVlblUHxqqMVWVuVYfGqoxVZW5VR8aqjFVlblXHxqqMVS0gC7pl7MrYVaBdzYKc/RRRPbuMt66naq/XbhDPy7u2J2hPqiKeSIftyVUEL9wyfh'"</definedName>
    <definedName name="_AMO_SingleValue_617623402_TaskState.8" hidden="1">"'ZGvc78O6IVs0YgaPecYmwjaEcds1rB/bZS8KinvNC8I1+V9UhnVqhWshv70tGa5YeLGQHTydKcyX/YGtqwd3IUH1esQ29O9lxY/Ov/e+SFvTVLxJGoW/K8qys8prvE25d0Lm/Y7F2UxE4/fD+pbNdxu98YTb9+/wuu5H5WHB9f//uo4QzbjWlxq7j90P73j8opbXLR0bzwZTzm4+9ynhmvZrxawV5Nj8SMfzP+Lb1/4+/5nECiM5x9wufK+'"</definedName>
    <definedName name="_AMO_SingleValue_617623402_TaskState.9" hidden="1">"'Djj4wr3cUHzbuPnjJ/Lws/VaE8O4+OMj1sWHydynMa/Gf82z1OnKnpglV0y/hb3hYnijIeb28PpWMJ3DOmg/pDx/UFEfltIrt59D+/Lq9vj7tDXbuDJGkzsm9AwPc70uMJjCv2ZVPyoYt17d/5P2+WuMCfsT7Zsz9XzfZ69Ck8tk2XC3G0bx6fre8kpq4/nv/0+Ob0vjuJ9lvdM5jXDKSXzQtdM/Jde17XDzrlr/rAaO7CVE+pxFXwc//0Z'"</definedName>
    <definedName name="_AMO_SingleValue_621796666_TaskState" hidden="1">"'Partitions:13'"</definedName>
    <definedName name="_AMO_SingleValue_621796666_TaskState.0" hidden="1">"'SASUNICODE7V1ZbyI5EPbzSvsfUFaah9FsyH1oLhHIMRpCspDJaJ8QATKDlmtoSDZa7X/fz+V2H+67abph1moBfZTrcrlcZbvNO/aR/c1GbMhK7In12YwZbMAmbMzesy22y7bZDn5LeDJmXdzv4emYfaOnCzZnj+x3doLzj+wD+5X9wt6xO9YBjr9QZoyzEUpy2BagRzg6oPCCZxzqAVT7gN2yaHPIA9DcJ7qSNsc3MrFU8Nlm5+wS35KSg'"</definedName>
    <definedName name="_AMO_SingleValue_621796666_TaskState.1" hidden="1">"'fMaYeoCxwB4++wNyt0r8hwCbhc4dyzsHKoKzoaQZAFYzusY31yyGbAPCeIW15zXAfB/xtMXUJ6Abp+wcmqH0EEfuuiC8wd2iu8Dtgdap7jasjRzT9IPLMmrwDKksy7oCS5Vrc1xNcdVG5LX6Lxj4jFCMLuxdEm2HyST0CeXt0HP+HUX1wZdSQoGSs5N/ni9jQmuHJPeDOWec6HUJEpPRGeBe3nQnFv3eZ3N6SxfumMqnQfNKbWJpxxtx01x'"</definedName>
    <definedName name="_AMO_SingleValue_621796666_TaskState.10" hidden="1">"'iOB6sTh37jXF/cVWKL5bssKuR+Or8TRtc/1leQme3L1c2xpd4WMWq8AvdgvPArPqJ+x/YmjTMafv5enIWrCxZoWR76ztHu/JjkZSWwvWWDl2y7F7KRl/JWtfdjl3nyfvtkLw2NlUScFTIu5Fv/cY6lniUbqgnm+OexPiO5rCgnraupUN+u3Br+o8XId2TuWNUeNq+4ZaYs2VoTmxuUuKdrtlZm0PsGEp61dgaiLus5/J+Mr5ZIT7M5MHEY0'"</definedName>
    <definedName name="_AMO_SingleValue_621796666_TaskState.11" hidden="1">"'GZ8N2tLoPPk9wZWO4B4x3z8GZWSeNpSj0TPnvAD015RZamtL3LbUZwxxZFaO6wdmtHVVJTbeUrN5u+Wrtu2siTv04/bYYTVhQi214dMX5ezLLVOgzxZFNzfK7dzj4zrFTh8ZV7pLUZVycUbUnMfBSwiLCtb6qdse9ftxWF/S/C2pN1eGVuNXXWIVs21tjAqLJ5L/CLqh/sLl1c2EoNZu8RfrVBpd8avmRdJpvUvuZ0P6YXebMJGTLu2Ydku'"</definedName>
    <definedName name="_AMO_SingleValue_621796666_TaskState.12" hidden="1">"'jBxGdbepz/tN3GldNr2KMKBpUUeyMbpvbk/9Ul/+/cbWiIyyhapPgnYLXnTSeRmo2n51nF5OV4zyc2D6qfsoXvA/sP'"</definedName>
    <definedName name="_AMO_SingleValue_621796666_TaskState.2" hidden="1">"'twCaewXQ3C+A5kEBNA8LoHlUAM3jAmieFEDztBCfsJMTVd4rd9l33OMRT15e/jtKLoCFU+2Z0dHyVMuxog8JfUt9+JTipzninWSRiiztjFBUjGe4mlDU6cRyhidNut8HxgnBcny81CNdj6z7W46Ic0a9v4wBm/ie4bdEMdoLYZYwbq1ckGaNiLI2lKrTIKmCpL7BudRfHb8GrlQ9fqeYpk711Ce6tqTO8kZoDToh3RQuUWIC3FwmLo9BVPi'"</definedName>
    <definedName name="_AMO_SingleValue_621796666_TaskState.3" hidden="1">"'TxwA5g3E1zHNDwTT31XY5Af9e3frpLpl1Scu5wXePYCtU531qaSKv2USrErnUNe655bXvb9ET4TG26XDnY2o2ZmdcAlrNrjjMnErwdj/Ch8OW2WvKljrkLUsoNSBexlYOVgJEmb1ivyHnrLG35lkFZ35R9RtfSEFFRP7JaKjZwnv2DyypAv2e4/c9IH/g/gTU37rO/w3lxOlzk/Hj7dde+8KVcIj6KsXAc5oJlpNMsBxnguUoEyyHmWA5yA'"</definedName>
    <definedName name="_AMO_SingleValue_621796666_TaskState.4" hidden="1">"'TLfiZY9jLBspsJlnQ4nCMTURjcXjKex5/QSE7P1Ydujl/3l0lCXVNv1vfxOD+jtA2ygT71QF1rBOwTYCtm9PBEnIpoWIwodjzRyOZppUGjk0FaqdDdIeAMioiEXpyxo30u8oYJxTrBMVryiDU+L8EcZBnfVvGszr6gfTRiyhyMq4lnX5fGcgvdXCLGWBbPFey9huM8tmT5RdzhdmpbwS0+HYq5hc+a52ihYVzkY5sXqMEm+rO7pW2hTjMhc'"</definedName>
    <definedName name="_AMO_SingleValue_621796666_TaskState.5" hidden="1">"'fGszg7sXOqSSi0A66994Q/kOIFdzpubyHmdFmz9M+UqIk8R4xtjknGiZMYqzy2CEjmdm58gPpwl3P3HKxp9eWtlu/dWBsFznQH1RCWK8b8RnFf3Xh2l6wWvQI1jcuYcV7jumPh/xp5fyiyyt/+LtDKLVuWN8lKbo4f4flvqooLrmTUam6/nbqDXjfK3UeNf4TFLA9+VNfDoyXp2WTd3NFbSyTnm9KOelz3ckE0s249fopVVgKnG2pDiBp8K'"</definedName>
    <definedName name="_AMO_SingleValue_621796666_TaskState.6" hidden="1">"'ZN4sG7C1n2XmEdyDh9ONq7s4cxwSWs5JJJsHkaWc/ZS8513HMKTIooJzzumIJJd5LofZ8cGSfEVJnBLqupLw1SRDwiRnph6t0WB+xWW4cN1JO18WtS6heC5214SPvTXhY39N+DhYEz4O14SPozXh43hN+DhZEz5O14QPub5i1ZyUE/ViQasn3L34gHrb9OVfPHH5F3D5ByIN0StPmRyN9vba7nUPNuydY2QjeNZ1O2D8NFxSJ51K5Jyt1EE'"</definedName>
    <definedName name="_AMO_SingleValue_621796666_TaskState.7" hidden="1">"'aSmHxiip51jPNXRxnuNswIas42qmkaEdwHrZeRrWUdBZ1C6rnKKNtStvUamxqV1uVtqrMrWpPW5W2qsytal9blbaqzK3qQFuVtqrMrepQW5W2qsyt6khblbaqzK3qWFuVtqrMrepEW5W2qsyt6lRblbaqFYyC7mi70nbla1dRkNGziPbcZbx1PVVzvXaLeF7ftT1+e4wUMSMdtMdKEbxwy3gujHqTeXe4KWaNgN9uCMXYht8OCXq1gvNtJf'"</definedName>
    <definedName name="_AMO_SingleValue_621796666_TaskState.8" hidden="1">"'9ez/ZCy/Z8VTYknRmBWsmu70tHK8oPF9MDppOlHcl/0BraoHdybD7qrE9vTg4dWLzr/4fkhd0lS8SRKFtyvS8vPKbzjrstqVzesOhdMcTODXx/kGzXcTvfGE2/fv8LruT+JBwfX//bU3AG7a6xulXcXmjv+0fllDa56mhe+DIe8/F3Oc+1V9NerWCvpkZi2r9p/5bev/H3fM4g0TnOPuFT1z5O+7jCfZxf3q39nPZzWfi5Bu3JoX2c9nHr4'"</definedName>
    <definedName name="_AMO_SingleValue_621796666_TaskState.9" hidden="1">"'uPEGKf2b9q/LTPrVEULrLIrxt/ivtRRnPZwS3s4FUvwjiF9lJ8wvj+IGN8Wktvvvge35c1tcXdoazfwZC0m9k1o6RanW1zhMYU6JxU/qvjZW3f+s+1yV5gz9idbt3n1fOezN2HWMtlImLNu4/h0dS852+rj+W+vT07vi8N4j/KeybxmMKVkXuiaif9GGjh22Llw5A+bsQNbOaEeN8HH8d/n0B4hL78Xt09KJp/q0zZVyrIikX/tVyl2mOPe'"</definedName>
    <definedName name="_AMO_SingleValue_65748969_TaskState" hidden="1">"'Partitions:11'"</definedName>
    <definedName name="_AMO_SingleValue_65748969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65748969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65748969_TaskState.10" hidden="1">"'gVuyx7K1dWux8KAqGmbc7c2vvoXtjxbWg+sk/Dlroo5n/ISxgSveVOj4yBF2CdpJfrIGor7Hbh9nTmQb5BzjdUk+R3Jhlp96c0j89+Xto4TGNDZn1uTb/7xeP5lF3ngmuc5eTqsaV3yiyaD6KVv83tD/'"</definedName>
    <definedName name="_AMO_SingleValue_65748969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65748969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65748969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65748969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65748969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65748969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65748969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65748969_TaskState.9" hidden="1">"'ie27dROCB87Jih5+JRY+yH3og+hPVM0Se+4RzSQNmO940gorykbu8df9aBRS/GWxBut6q74wcnNnXPG1HtmTPEF+FA2fAanNrySfU21fueVCdLnpg7SVwbHarYvrUDPMxzbHO5As/pErLlZ1s2NJNyb9ndB/WjaLUvpkX9b3EYW5rhfzjkEx17iXWBPDh51fkuZM+a05xK8te+uiaD0bSFDPCs2Ki6CninrRUkD7UHUS52qXPqraJEUbVLv'"</definedName>
    <definedName name="_AMO_SingleValue_662231970_TaskState" hidden="1">"'Partitions:11'"</definedName>
    <definedName name="_AMO_SingleValue_662231970_TaskState.0" hidden="1">"'SASUNICODE7V1Zbxs3EJ7nAv0PggvkoUgtHwnaoDkgW74QRVYl2UGfDFmWG6G6osOuUfS/9+NwufeuuKs1VwYIQSsewznI4cyQS9Pv6RP9Q2MaUYUeaEBzWtCQpjShD7RD+7RLe/itoGZCfZTfoXZCf3HtipZ0T7/Qb0h/oo/0I/1A76lLPeD4G20mSI3RUsB2AD3GpwcKT6gTULegOgDsjktbQL4BzUOmq2gLfGMHSw3fXTqhMzwVpQXSd'"</definedName>
    <definedName name="_AMO_SingleValue_662231970_TaskState.1" hidden="1">"'cbUB44h8A7oNdpdh+R5C7h94NxzsQuoY3A2giQrwApeJ3gKyebAPmKIFvKC1yHwf0btEyhPQXfAWAW1t+iDAfqiD85v6R2eb+gAtN4ht+P2zDVLP3QlPwaWEaf6oCe5DPfaErklcjeQvM7pnoNnkYI5iKXPsn1nmWR/CnmbXCfyfeQXnFMUFmi5dPgT4zZhuKomvTnaPRqh1GZKD0xnhTITNJduuRizJadM0J1xvz7w/Osbl3XCrU3QbDly'"</definedName>
    <definedName name="_AMO_SingleValue_662231970_TaskState.10" hidden="1">"'I9b8PIcxRTk+iPHvSeNTdfF9pP8B'"</definedName>
    <definedName name="_AMO_SingleValue_662231970_TaskState.2" hidden="1">"'mqPonx/7xikeGKd4aExfBxhHc3YnSNHMSAZpmhnLIE1Toyl8VJ++oUz4f1P25xtaroBFUL1zYoXNqVa1fLGClhZpxtHEEt4/m99Wrf3+OoxRRkNfUBbE45XvcI2Ucpc/wYgqHE95MZOEDsdHAmbJLQSvY3wFbJV+5ninxyNcQash8zJxo6gKIKr0in5C1Fin351UDak4v/g6FlJSkb47G42wD/xA/1IDNUeICBvIvcKcWAFiya289H/AGIe'"</definedName>
    <definedName name="_AMO_SingleValue_662231970_TaskState.3" hidden="1">"'v4vLhxRD6ONOk8+tedhn9szuZc6kB+vxWNOgdGKa3b5jec1ML+lmT1J5/5IJxkklqxdEK+oGwHT5Cbspr4WhEOoPHWXHZnFeCahV2Adia4wnEKlb5ILmqFVZFerK5u0JJpt/ktWgS/RqXjgAnrMjC4aDBdnfAPtBLS784Za+pT/8SaeXRGkxjmZuXZA4UdT+1RaoH9kMG+TlGXYOu4CObmjIn42qj7uvGWFromzPo4aZ4zqFZdXxOtCWrZu'"</definedName>
    <definedName name="_AMO_SingleValue_662231970_TaskState.4" hidden="1">"'jRqtbY59NTTwta+PbYU0vvtzSooWlcmNHNU4xgGxaqu7EuNHjfSxePOT1It5fnaH2HMhVPnuPb45J5qn0oZvwV1Rryc3fVYlYDmpi9RYy/sHJNPGtbqAPptkCNQpc9cM+wl4qjbmrkL3n0Nx35M1iQGjDVsZLsAq6LXOOF6YDX+0XGKh2Gk28jstDV7TudVb+CbnNd1h191cq/M6DKovvcovQao99mTscsuYpBBcxeDJbsbxx0WoTfO6S/b'"</definedName>
    <definedName name="_AMO_SingleValue_662231970_TaskState.5" hidden="1">"'RgxJrVXc+/uNYickOE0UJJ3B2ndjm7ZXBxsBReHpXER3Q0un4vyNCNu17h8PsxoRzWTdUraJw5a5yFb0fztnyLx1hW4/AMeRFrbmbsDELXGwR1eD7artVe7m7CSTpfUT6e2dqdX9UEeSml+KCx50fvTfXyOUNp0II/xucklxc0aztPeDIQ1ZXON2rc6ZXWqYJ06sDpldapgnTq0OmV1qgCdaoHqCdrYeMrq1PPolI2orFYVr1U2prJaVbxW'"</definedName>
    <definedName name="_AMO_SingleValue_662231970_TaskState.6" hidden="1">"'2ajKalW8Vq2DXL/L5e2t6b1POHbeLHeY5+19pxB3Dr2M/dKks/9l8CI047E06m2K/uVFGXzIGfJQsl6Ez6Wa4OMl7KN7J6ri/Z1nfzb1ecc04j5bJPZKcV4vH611Frgc35dPlpu1/Ce9tT/j/Aol4X0nxUeDBnyOcuTDouRp4znHr5hdQ2f2eC0rzJFsWwmc+5S20l8SnEvZT5h0UCdgjwBd7MkR//nRBcsiPU+2cyNXyN0zj2PGJ04c3IV'"</definedName>
    <definedName name="_AMO_SingleValue_662231970_TaskState.7" hidden="1">"'w3pM8EWPu3EgU2tMHDyafTj53FC9tmYj2xHnTE2vVrFUr2aqFYzBr36x9y2/fxMnCI0h0gtQFvg1r46yNK93Gxa24rZ2zdm6z3dhLtLngE/XWxlkbV7aNC+8eWftm7VsRcVyT/y7S2jdr37YlhpO79Na+Wfu2efxmrZu1bttg3YJvIK1ts7at3DMd6m+ej+hP2rbTG2ZPTbyEN+TZdl39Y6vj1dQNqR302eeAJ9PzYFGvlN8bpfG+zn9k8x'"</definedName>
    <definedName name="_AMO_SingleValue_662231970_TaskState.8" hidden="1">"'tplF7GuSzx++j0jPeX6n5bampeJ3MQP9N0z50F5+xLlbIakih+9MUNw8JDTcGVgLvT4tx/U4CYDzup+Fqshf1Ijz/PTLpxbmauBjyqnpSqRdf1Bdn6wmvnt1BeaScFjxfbVkJ4Ksz9gKPB+1Qt0KN0SlOOAif8HGhQWHH82XBj87gbz8J9nt6HXoQb9Ze6vX1J4i7seiBe9mMLtpwy9I4TQ99Cj5SsX4GpDR/k1Slb768Zo3zu8CA9Y/Lax'"</definedName>
    <definedName name="_AMO_SingleValue_662231970_TaskState.9" hidden="1">"'POcv+LXa32N+ujNHnNnPJq5sd85cncBOXPklb0z42eL5L1GMhqVkXDyGkPcHv7kw1Hne839aysvwg2PenAEksqfSyPEfXe6+pB0L15YOxqYL2JM6lTjno9qiYRok7o5fsUWzeM2yMUipE3rdSU4F+PGWsg9c/U7eTzS74kR4zvlGzn65F9RKM34Qj2W59bBJ3tf99b7XeT8Gr0k/z5Gl+Q9WAun79Qdvtlv199FD41o5Kz15P8KCHuEfBKF'"</definedName>
    <definedName name="_AMO_SingleValue_671486722_TaskState" hidden="1">"'Partitions:13'"</definedName>
    <definedName name="_AMO_SingleValue_671486722_TaskState.0" hidden="1">"'SASUNICODE7V1Zb9s4EJ7nBfY/GFmgD0U3zn2gFxznKpo4WTtNsU+G4zitsb5iOekGi/3v+3EoWhJ1WJJlye4Sgm2JGs7F4XCGouh39JH+pj71qETP1KExWdSlIQ3oPa3RJq3TBn5LuDOgNsrvcXdA3/juE03ogX6nA5x/pA/0K/1C7+iGWsDxF+oMcNZHTQHbAHQfRwsUXnBPQN2Bagewa1PaAnIHNLeZrqIt8PVtLBV81umEzvCtKFk4P'"</definedName>
    <definedName name="_AMO_SingleValue_671486722_TaskState.1" hidden="1">"'2ZMbeDoAm+H3qDerSbPLuA2gXNjil1AVcFZD5I8AVbwOsC3kGwM7D2GuMa14LUL/J9x9wWUh6DbYayC2i500IEu2uD8jg7xvUNboHWIq7WpZm5Z+u5U8iqw9PisDXqSS11rE1xNcNWE5Md83rLxWBGYvVjaLNsjyyT1KeSt8T1x3ca1xVeKgoWaE5s/0W4DhivHpDdGvR+5UKozpWem84SyPGhOpuWizSZ8li/dAdfOg+aI+8RzjrbjpbhZ'"</definedName>
    <definedName name="_AMO_SingleValue_671486722_TaskState.10" hidden="1">"'3aetqpRlTaLg1q9y7DBBWZ/h7mNx7t5rSviLtUh812yFbZ/GF+Npmvb6y/IcPHlHueZ0dkXMWSwCv9wtPAvMup9w/qGhyceEv+eno1rBwZoVRrGztne+Jzsaut6z1EhSOw6nXY7dK50RUMV2yfquU887nqrSRgQeJ1MraXhKzL0cUx8ivVY8Sqc8qk5QNmS+k1Aoz9CNk4f549q4Wrzi3nvsyerc2Lw1ZV9fszO9O9i9kuErMNURKzr3VEz'"</definedName>
    <definedName name="_AMO_SingleValue_671486722_TaskState.11" hidden="1">"'mvtNH+djmQUaw4Rm0E+Fug89DV/1bQPh3KRzbmq7Ngf/elv0GsCNbZqmhEX9fcz+w7JlYOQscng07UZjSckObBXA8hd7y3laI0zZuPy9nH564F9Z8mhL8Pdt1KvwZ4cimVUXpDQ6x0+zIpW+duyQtGRfnrNZTGEQtaQ/RWl9UnxOjRNweF/Y/DXpLXcDTCJs/pgpbtr/FJESd1L/rPrHPd7j1cmFpLZu0Nwa1hZB7NPUg6fRe594z5N002+'"</definedName>
    <definedName name="_AMO_SingleValue_671486722_TaskState.12" hidden="1">"'TOO1S/u6QWy3Nn43PsPM4/A6/jyu0xnDkIi2vKnZQtW3fq/+eS/wPxOjQkZJT9Uf6fsj6WppNIz93T86xj8nO8FRDJh7VPeYrvA/0H'"</definedName>
    <definedName name="_AMO_SingleValue_671486722_TaskState.2" hidden="1">"'AM2tAmhuF0BzpwCauwXQ3CuA5n4BNA8KoHlYiE/YyImqGJXb9B1lIuLJy8t/R80nYBFU7+3oaNFUHxFfiE8xMr/gXtP+XhQH5VjRl4K+5hhmxPHjBJwli9RUbXeEpmM8wtWQo243liPcqXN5BxiHDCvwiVoPfN2flq+5Iu4xRz8qBq7je4zfEseoL4xZwXi1csqatWbUdaB0nYZJFSb1Fc6V/i7wa+FK1+N3jukuuJ06TNeR1F3fimxBN6S'"</definedName>
    <definedName name="_AMO_SingleValue_671486722_TaskState.3" hidden="1">"'XwhlqDIFbyCTksZiKuPMQImc4rpp9bmmYJoHaLifg36/bIN0lsy5lOVf4vmfYCrd5hz2NzOtW0apkLnmJMq+8Tvka35EeY50Pbz6qZ6NOximh9exSwEy4huj3fXwEbJlec7bYYr9VQq0u8zKY5qAlQJTpFf2GnPuY3tpnFZwFZRVvAiElFZn5JKOhZ0vv6R9YUgX6PcHve0A+onwI6m895/9GcuL2ucn48Y/rrwPhSjhke5Vi4DnMBMtBJl'"</definedName>
    <definedName name="_AMO_SingleValue_671486722_TaskState.4" hidden="1">"'j2M8GylwmW3Uyw7GSCZTsTLFuZYNnMBEs6HO6ZmXQYapr3jDcSDHmG694ztq6Ovw+WSUFd8ijXCfBEP6O0NbaNDo9M7enM4CfAVuyo4pk5lVGynGlt+aKU1dNKjWdtw7RS4dIe4CyOlKRe3DGlcy7ziSHHQOGxW/JINj4v4RxkGfdWce+CvqB/1GLKHI6rjntf58ZyDd2cIfaYF8857P0Yx0lsyfKLxKPt1LGCa3xaHItLnzXJ0UKjuMjHN'"</definedName>
    <definedName name="_AMO_SingleValue_671486722_TaskState.5" hidden="1">"'k/RgnWMczdz24KIZ+PjWZwdODnWGdd6Amyw9qU/UPMHTj1/zqKedzVg6585h5H5i5z3GLCMQy1j1nluMJTM9bz8hPHhruEdP17xrMzbaRZ8O80sRA7U5ZGoxLH/N4bz696vo3Sj4DmoCUzuXOQc1y0b/8848iuZZVb3f5FWZde6vLO81OroIb7fVrqo4Ho8nS/N13PXMOrO8rez5sWiY5YavitL4NGTjeyqbW54DqWVc8wZRD0ve7him5h3'"</definedName>
    <definedName name="_AMO_SingleValue_671486722_TaskState.6" hidden="1">"'HD9DL6sA0zE1IcUVPhXIvFo24Gg/y8wjfASPphtXd3GefSho9awi2fMRVcs9Tqky//qOHkcWFZwLTvssucpzBcxGAJbkK23i1NDX20SvsukxJvXE6mE6SyyuhAynnpK0z9RmrdconovNJeFja0n42F4SPnaWhI/dJeFjb0n42F8SPg6WhI/DJeFDrTtZNCflRKNY2AoL7yje5dE2ff0XX1z+BVz+gUhDjsojUrPR/lHbux7Cgb1xzWyEP41'"</definedName>
    <definedName name="_AMO_SingleValue_671486722_TaskState.7" hidden="1">"'dD5k/jZbUTacy81mu0kEaSlHxii551k+g2ziOUFqzIas4mqmkaM7gPGodjW4p6SzqGlRPUMfYlLGpxdjUprEqY1WZW9WWsSpjVZlb1baxKmNVmVvVjrEqY1WZW9WusSpjVZlb1Z6xKmNVmVvVvrEqY1WZW9WBsSpjVZlb1aGxKmNVC5gF3TB2Zewq0K5mQc5+iug8u4y3rqdqr9duMM/Lu7YnaO+VIp5Ih+09UwQvwjJ+FEa9Tv6df4pZIx'"</definedName>
    <definedName name="_AMO_SingleValue_671486722_TaskState.8" hidden="1">"'C0X0ExthG0c4RZreB+Wyl41HO80LwjX5V6rDMrVCvZjX3paM3yw8WMgOlkac7kP2wNbdg7OQ4fF9ThNyd7Liz+9f899sLemiXmSNYted6jlx7TXeLtSzqXVzR7twy5o4PYNyTbddzuN0bTr9//giu1b4nAJ9b/3ms4w3bdWNwqbj+0//2jckqbXHQ0L32ZiPnEu5wnxqsZr1awV9MjMePfjH9L79/Eez5HkOgEZ5/wuTA+zvi4wn1cUN5t/'"</definedName>
    <definedName name="_AMO_SingleValue_671486722_TaskState.9" hidden="1">"'Jzxc1n4uRrvyWF8nPFxy+Lj5Byn8W/Gv83z1KmKHlilcxJvcZ+ZKM54uLk9nI4lfMeQDuoPSewPIue3peTOu+/hfXl1e9wN+toVPFmD5L4JDdPjTI8rPKbQn0nFjyp+9t6d/9N2tSvMEf1Jy/ZcPd/n2avw1DLZTJi7beP4dH0vOcfq4/lvv09O74ujeJ/lPZN5zXBKybzQJcn/jOq6dtg5deUPq7EDWzmhHlfBx4nfH5EjQl5+L+6YlEw+'"</definedName>
    <definedName name="_AMO_SingleValue_732119577_TaskState" hidden="1">"'Partitions:13'"</definedName>
    <definedName name="_AMO_SingleValue_732119577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732119577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732119577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732119577_TaskState.11" hidden="1">"'M5EFkusE9bTsT3gefJ+TRJYZ7wHj3M5yZddJYikLPlP8O0FNTbqGlKX3fUpsxzFFbMWIc3HO2Mzap6ZYyYmB7FbX23TURp36cMUGMVCyoxTY8uuL8PZllKvSZ4simZvndOxx8V9qpQ+Mqd0nqMi7OqNqTGHgpYRHhWl9Vu+MRJW6rC/pPB7Wm6vBK3OprrEK27a0xAdFk8p9oFxQfbG7dXBhKzSZvkX61wSWfWn4kneab1H4mtPdmlzl7Kb'"</definedName>
    <definedName name="_AMO_SingleValue_732119577_TaskState.12" hidden="1">"'LlXbMOSfRg4rMtPc7/6G7jyuk17BELg0qKfZcNU3vyP/KS/1/vNjTEZRQtUvz7sBp500mk9vTT86xi8nK855P3B9VP2cL3gf0H'"</definedName>
    <definedName name="_AMO_SingleValue_732119577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732119577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732119577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732119577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732119577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732119577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732119577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732119577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779436236_TaskState" hidden="1">"'Partitions:13'"</definedName>
    <definedName name="_AMO_SingleValue_779436236_TaskState.0" hidden="1">"'SASUNICODE7V3pb+I4FPfnlfZ/QKw0H0azpRc9NJcovUbTUhY6He0nRCmdQctVAp2tVvu/78/PcQ7nDiGBWSsCEuf5XX5+fs9xzDv2kf3NRmzISuyZ9dmMGWzAJmzM3rMy22FbbBu/JdwZsx7KH3B3zL7R3QWbs0f2OzvC+Uf2gf3KfmHv2C3rAsdfqDPG2Qg1OWwb0CMcXVB4wT0OdQ+qfcCWLdocch8094iupM3xjUwsNXy22Bm7wLekZ'"</definedName>
    <definedName name="_AMO_SingleValue_779436236_TaskState.1" hidden="1">"'OD8lDD1gGMAvH32BvXuFHmqgNsBzm0LO4eqg7MhJFkAlvM6xjeXbAbsQ4Jo4przOgD+z7j7AsoT0O0TVk6tCh30oYseOL9nx/jeZ7ugdYyrsqWZO5J+YEleB5YhnfVAT3Cpam2OqzmuOpD8lM67Jh4jBLMbS49keyKZhD65vA26x697uDboSlIwUHNu8sfbbUxwlZj0Zqj3IxdKLaL0THQWKMuD5twq5202p7N86Y6pdh40p9QnnnO0HTfF'"</definedName>
    <definedName name="_AMO_SingleValue_779436236_TaskState.10" hidden="1">"'0zZVyooikX/r1yl2mKNsRHAPsTh37jXF/UU5FF+TrLDn0fhqPE3HXH9ZWYIn9yjXsWZX+JzFKvCL3cKzwKz6CfufGDp0zOl7eTqyFWysWWHkO2u753uyo6HqPUuNJLXjYNqV2L3SHgFlbJes79r13OOpLG2H4LEztZKCp0TcizH1MdRrxaN0TqPqHGUT4juawoJG8Ssr0/Tb31/VebgO7XzNG//G1fYN9fJTV/bnxOauKXxC2cwI79E/pKx'"</definedName>
    <definedName name="_AMO_SingleValue_779436236_TaskState.11" hidden="1">"'fgamFmNK+J2M3550RymcmDyLSDc607Ui46qh7h7venQxnZms0UuJ+MGW+BdzUlFVoZkrfTeonhjlTK2aJg7NlO0qT2m0rswS2J1Fb3K39OG3iHAfE7MSCemnDoyXO37NZp0afKY5sWpOX3uLgO9FOHbpWuUvSinFxRrWexMBrCVsI1/qq+hofReL2tKD/cVBb6gqeiNv7KauRVXtbTEC0mPyX3QWNCTa3bi4MpWWT9EK/duAyTy2vkU7nLe'"</definedName>
    <definedName name="_AMO_SingleValue_779436236_TaskState.12" hidden="1">"'o5E9pps8ecOYnsc9esS7Lcm/hsG4/z78BbuHJ6Cnt+wqCaYpdlw9Sb/A+65P9CvAUNcRlFXxT/qayOs+kkUvP69DyrmLwc7/pE+UHtU7HwfWD/AQ=='"</definedName>
    <definedName name="_AMO_SingleValue_779436236_TaskState.2" hidden="1">"'nQJo7hZAc68AmvsF0KwWQPOgAJqHBdA8KoDmcSE+YTsnqnxU7rHvKOMRT15e/jtqLoCFU30wo6NVU31CfME/xcj8gnsd83tVHFRiRV8SukkxzJTixzk4SxapydrOCE3FeIKrCUXdTiwnuNOi8j4wTgiW4+O1Hul6ZJWXHRH3jKIfGQO38D3Db4li1BfCLGHcWjknzRoRdW0oVadBUgVJfYNzqb8r/Bq4UvX4nWK6K2qnPtG1JXXWN0Jb0An'"</definedName>
    <definedName name="_AMO_SingleValue_779436236_TaskState.3" hidden="1">"'ppnCBGhPg5jJxeQyiwu88BsgZjKthnhsKprmvtisJ+Pfq1k93yaxLWs4Nvh8ItkZt3idPI/K6TbQqkUteo8wtr11epjvCY2zR4c5H1WzUzjgFtJpdcpg51eD9foQPh62w15QtdslvlVBrQLyMrRy0BIgKe8V+Q859yt6aZzWc+WUVb3whBRWR+SSjoWZL79k/sKQa9HuG3/eAfEL5BNTfus7/DeXE6XOT8eMd11/7wpVwiPYqxcBznAmWo0'"</definedName>
    <definedName name="_AMO_SingleValue_779436236_TaskState.4" hidden="1">"'ywHGaC5SATLNVMsOxngmUvEyy7mWDZyQRLOhzOmZkoDG4vGc/jT2gm68E1hm6OX/eXSUJd02jW9/E4P6O0DbKBPo1APWsG8BNga2b08EycimhYzKh2PdHI5mmlQbOzQVqpUekQcAZFREIvztjRPhd5w4RineAYLXnEGp+XYA6yjG/ruHfFvqB/NGLKHIyrhXtfl8bShG4uEGMsi+cS9n6K4yy2ZPlF3OF2altBE58uxdzCZ81ztNAwLvKxz'"</definedName>
    <definedName name="_AMO_SingleValue_779436236_TaskState.5" hidden="1">"'XO0YAvj2e3StsDj1vh4VmcHdi51QbUWgPXXvvAHcp7ArufNTeRzrTZs/TPlKiJPEfMbY5JxomTGKs9tghI5nZufID6cNdzjxyuafXlrZbt3VgbBc50BjUQlivG/EZxX914dpRsFL0GNY3LmHJe47pr4f8aRX8ossrf/i7Qyi1bljfJSm6OH+H5b6qKG65k1L5qv525g1I3yt1HzX+ExSwPftTXw6MlGdtk2tzRX0s055vSjnpc93JBNLDuO'"</definedName>
    <definedName name="_AMO_SingleValue_779436236_TaskState.6" hidden="1">"'X6CX1YDplHUgxQ0+Nci8WTZgaz/LzCN4BA+nG1d3cZ5xSGj5TCLZcxBZyzlOyTLvOo4hRRY1nHNORyS5zHM5zLYPluQrauLUUNfVhK+mGRIm+WTq0ZoN5ldchnNXSdpnZ1HrMornYmdN+NhdEz721oSP/TXho7omfBysCR+Ha8LH0ZrwcbwmfMj1JavmpJJoFAtaSeEexQc02qav/+KJy7+Ayz8QaYhRecrkbLR31Have7Bhbx0zG8FPXbc'"</definedName>
    <definedName name="_AMO_SingleValue_779436236_TaskState.7" hidden="1">"'C5k/DJXXSqUU+s5U6SEMpLF5RJc/6SXMPxwlKGyZkHUcnlRSdCM7D1suolpLOopqgeoY62qa0Ta3Gpna0VWmrytyqdrVVaavK3Kr2tFVpq8rcqva1VWmrytyqqtqqtFVlblUH2qq0VWVuVYfaqrRVZW5VR9qqtFVlblXH2qq0Va1gFnRb25W2K1+7ioKMfopoP7uMt66nbq7XbhPP67u2x2+PlSKeSAftMVMEL9wyfhRGvcW8O/wUs0bAb1'"</definedName>
    <definedName name="_AMO_SingleValue_779436236_TaskState.8" hidden="1">"'+CYmzDb4cIvVrB+baS/6hne6FlR746G5LOjECtZDf2paMV5YeLGQHTydKJ5D9oDW3QOzk2H1esT29ODh1YvOv/h+SF3TVLxJGoW3K9Ly88prPE3ZdULm9Y9K4YYucGvj9Ituu4nW+Mpl+//wVXcn8Sjo+v/31QcAbtrrG6VdxeaO/7R5WUNrnqaF74Mh7z8Xc5z7RX016tYK+mRmLav2n/lt6/8fd8TiDRGc4+4XOlfZz2cYX7OL+8W/s57'"</definedName>
    <definedName name="_AMO_SingleValue_779436236_TaskState.9" hidden="1">"'eey8HMN2pND+zjt49bFx4k5Tu3ftH9b5qlTHT2wzi4Zf4v7Qkdx2sMt7eFULME7hvRRf8L4/iBifltIbr/7HtyXN7fH3aKv3cCTtZnYN6Gte5zucYXHFOozqfhRxc/eu/N/2i53hTlhf7J1e66e7/PsTXhqmWwmzNm2cXy6upecbfXx/LfXJ6f3xWG8R3nPZF4zmFIyL3TNxH9DDRw77Jw78ofN2IGtklCPm+Dj+O+P0BEhL78Xd0xKJp/q'"</definedName>
    <definedName name="_AMO_SingleValue_805804074_TaskState" hidden="1">"'Partitions:11'"</definedName>
    <definedName name="_AMO_SingleValue_805804074_TaskState.0" hidden="1">"'SASUNICODE7V1bb9pIFD7PK+1/QFlpH6puSMhd24sIpElVSligqfYpooRs0XJJsWk3Wu1/32/OeHzDNrYxNqARAuzxmXOZ+ebM8cx4/Ire0j80phGV6DsNaEYGDWlKE3pNe3RI+3SA/xKuTKiP9AdcndBffHVOJj3Sb3SO47f0hn6mn+gVdakHHn8jzwRHY+QUtB1Qj/HpQcIzrgmqL5A6AO2eLVtQHkPmEctVsgW/scWliu8+XdE1fpUkA'"</definedName>
    <definedName name="_AMO_SingleValue_805804074_TaskState.1" hidden="1">"'8d15tQHjyH4Dugl8t357DkB3SF4HtjcBVUNmo1gyRy0QtcJfoVlM3AfMUUL50LXIfh/wNVnSJ5C7oC5CmknKIMByqIPzb/QBX6PqQJZFzjbs0vmjq0f2pbXwGXER33Ik1r6S83EmYmze1he5+OexceI4Ozl0mfbvrFNsjyFvU2+Js77ODf4TEkwkNO09BP1NmG6ckx5M+T7kYukNkv6znLmSMtDpmmnizoz+ShfuRPOnYfMJ24T33PEjlfi'"</definedName>
    <definedName name="_AMO_SingleValue_805804074_TaskState.10" hidden="1">"'HuxHSANtRtRKnapc9otIkRRtUu+8m7NXc7T1amH4EBUHL94WGVTbwvInG+XhNRK9n56o4SnvJNcn932FwsZHvpMqQTvJT5Z/3Df27ePMjWqT3PfyXZL7hRpW6ak3xCR/M+A+SmhEcodDg+R7Dv39QjqL/HFrep39nBY1rgT08mH1U7b5vaH/AQ=='"</definedName>
    <definedName name="_AMO_SingleValue_805804074_TaskState.2" hidden="1">"'YQEyKwXIPCpA5nEBMk8KkHlagMyzAmSeFyDzohCfcJCTVNEr9+kr0kTEk5eX/4qcc3ARUh+s6GjdUr8hvhDfvK1VctdV1uVYMZeibnHk8sRRo4koL1l8pnK74zI/Rxn1fkSal4+TvsdXpJX7/PFGzv642YmNJbU/DhY0JucQuo7xFbRlesFxbY/LuoRcQ9ZlYkfLJVCU6Vf6BXcHdfrdOqriKCj+eRlIKaXIGC2ZDH9c95r+pQauXCLyb+D'"</definedName>
    <definedName name="_AMO_SingleValue_805804074_TaskState.3" hidden="1">"'sV6BmDhqTcznH/0Vq4sZJMn0WPdCLQLoSPrK+4msczqnEdef3B/E5l2LYcrEzlpzvjCVnO2PJ6c5YcrIzlhzvjCVHO2NJZWcsOdwZS7bXDvd43zZY4Y3Z/THzJc6mPD7tjpgVVZOtGHC827dHRt+DtmpF7WJkWd0vCEkyqpT3WjN71DBcfpPHh8PkVzl1BDoRRRqWBg2OkQd8v+Icy3uYKZdPfPm3OFZ3Hw2WYabWJVwDJd0tzYi8W3JTev'"</definedName>
    <definedName name="_AMO_SingleValue_805804074_TaskState.4" hidden="1">"'Wp4VqDPuF+phnT5nBebVz7vDKXFsrmGjhclc8NkFXH5yq2ZeUEJVqOVffpcOqgoIVvD9IH1t2PmSNCo7TIB5vvUINt+L7uylgQvi0+n/xwEO0vb5D7AWnq3v8G3x6nzCL9Qzb1r6RWcT6zx3ryRUATrTeL+hderonf6gZiINoXqFrocg/cy7mXCpKeV83fcu2vWvPX8CBVcKrTPay4xbcKm7cLA07pZxmrdJhOrhBIIjdu2cUZoVXUbb6Wd'"</definedName>
    <definedName name="_AMO_SingleValue_805804074_TaskState.5" hidden="1">"'JZd5XKP4qq0xblnkXqH2m+zpmO2XMWgguYggEvyVQBxcvjXAkSvABgxJzWu/miPC4szYcM7T0raUf9lc8nFa3G4IXpUNkSPow3R43hD9DjZED1ON0SPsw3R43xD9LjYED3UnPi6NSkn6sXC5oC9vfiQe9v0+Z8X4vJP0PIPRBqyV36yR4oWe23vrK1D26U486/7ISMu0Za65VSXzt6qMkgjKSpe8Vue9ZxzH59LpDYtyho+96msuF+iedRs'"</definedName>
    <definedName name="_AMO_SingleValue_805804074_TaskState.6" hidden="1">"'vx8p6RDVgtQr5NGY0phaD6YONao0qjJHVUWjSqMqc1QdaVRpVGWOqmONKo2qzFF1olGlUZU5qk41qjSqMkfVmUaVRlXmqDrXqNKoyhxVFxpVGlVrGAU90LjSuArE1TLK5bOIztxlvHU9NWuFZ4d13ty1PUH7QhQxIx22L0YRughk/ChMepsWdyUpZo1A0FPVxWAj6Kl2vVrB/XxDcK/neKFVe74ajbjMjNBSya7vSydrmR8upgdMZ8v9Uv3'"</definedName>
    <definedName name="_AMO_SingleValue_805804074_TaskState.7" hidden="1">"'D1tBe8/kcKf51LUqPBg34qaaRi4uyp43fGf5F6xparcfJWWKNZN6S5yks6THdKd625Nfylpat9+7gmqC9BHW267jdT3MZbIv0MclWcX/C2SPrOGZ+Yv3vg4/nI8n16fmt4l6kdvDg0KTD5LqjeenLRMwnnv660l5Ne7WCvZo/EtP+Tfu39P5NPOdzCYuucPQe34b2cdrHFe7jgu67tZ/Tfi4LP9fkp/i1j9M+blN8nBzj1P5N+7dVZp1qaI'"</definedName>
    <definedName name="_AMO_SingleValue_805804074_TaskState.8" hidden="1">"'E1uiHxFPe1juK0h1vZw/m5hO/CMUD+KYk9N+T4trTcefY9vC1vb4vroq3dwpN1SO6b0NEtTre4wmMK/5xU/Khi11t3/rPtaleYS/qTNm1ePd/57G2YtUw2Euau2zg+Xb3XpYMy++Dx4/H896JPTu+Lo3Rf5j2Tec0oSduxYkb8/4j0eHm167g+N5l9/ja7rVaWfRYF136N+0YTaWOme4iluXsvJdEe9iL5tRiF/YUSX09LurfWF5Y9PWo8K'"</definedName>
    <definedName name="_AMO_SingleValue_805804074_TaskState.9" hidden="1">"'1WOrt0XJCsLJ5/bQzmpnQg+TmRX8vEpsfYDjoUeI1EQT9I7jmtMpE1Z7+US5hx9NezINGiPWH+ZR5ehE98t9pdxS/uWxBu86p5o0c3Nm3PK1HtWBPkFOFK2fganNvog55ry9e4rY6TPLB1kzxgemTs9ZwV6nrry34FicfezmVUjzRX4P1i2d0H7ZNksS+iJf1vcjgxrhEeOLoVH2eK9Z88uHnV+I5v77sIZNfLXvLcWwtLXhQqxK3BcTITt'"</definedName>
    <definedName name="_AMO_SingleValue_825207699_TaskState" hidden="1">"'Partitions:13'"</definedName>
    <definedName name="_AMO_SingleValue_825207699_TaskState.0" hidden="1">"'SASUNICODE7V1ZbxpJEO7nlfY/IFbKQ5Q1vg/lEsZXFIxZcBztE8IYJ2i5woC91mr/+35dPT1Hzz0MM5BtjYA5quvq6qrqY5p37CP7m43YkJXYE+uzGTPYgE3YmL1nZbbDttg2fkt4MmY93H/A0zH7Rk8XbM4e2e/sGOcf2Qf2K/uFvWO3rAscf6HMGGcjlOSwbUCPcHRB4QXPONQ9qPYBW7Zoc8h90NwjupI2xzcysVTx2WLn7BLfkpKB8'"</definedName>
    <definedName name="_AMO_SingleValue_825207699_TaskState.1" hidden="1">"'zPC1AOOAfD22RuUu1PkOQDcDnBuW9g5VA2cDSHJArCc1zG+uWQzYB8SRBPXnNcB8H/G0xdQnoBun7ByagfQQR+66IHze3aC7322C1onuCpbmrkj6QeW5DVgGdJZD/QEl6rW5ria46oDyc/ovGviMUIwu7H0SLYfJJPQJ5e3Qc/4dQ/XBl1JCgZKzk3+eL2NCa4Sk94M5Z5zodQiSk9EZ4F7edCcW/d5nc3pLF+6YyqdB80ptYmnHG3HTXGn'"</definedName>
    <definedName name="_AMO_SingleValue_825207699_TaskState.10" hidden="1">"'4B5ice7ca4r7i3IoviZZYc+j8dV4mo65/rKyBE/uKNexRlf4mMUq8IvdwrPArPoJ+58YOnTM6Xt5OrIWbKxZYeQ7a7vHe7Kjoeo9S40kteNg2pXYrdKOgDK3S9Z27XLueCrvtkPw2D21koKnRNyLmPoY6rXiUbqgqDrHvQnxHU1hQVG8bvU0/fb3V3UerkO7v+bNf+Nq+4Za+Zmr9+fE5i4pfELZ7BHeo31IWb8CUws5pf1M5m7OJyPcn5k'"</definedName>
    <definedName name="_AMO_SingleValue_825207699_TaskState.11" hidden="1">"'8iEw3uKdtZ8J74HPfUf4OEN7dDGdmjTSWwP9gyn4L2Kkps9DQlL6b1F4Mc8RWjBYH95rtbE1qua2MFtgeRa15dy3EqRtnPBCjFAtqrQ2Ppjh/T2aZKn2mOLKpVX73FgffkXbq0LfKXZKajIszqvYkBl5K2EO41lfV5ng0idvigv7PQa2pOjwSt/kzViXL9taYgGgx+W+zC4oNNrduLgylZpO2Rr+64HJPLQ+STu8taj0T2nWzx5z9E9nurl'"</definedName>
    <definedName name="_AMO_SingleValue_825207699_TaskState.12" hidden="1">"'mX5Lk38dl2Huefcrdw5fQY9liFQSXFjsuGqTv5L3jJ/5F3CxriMor2KP5fWI256SRS+/jpeVYxeTne9cn4g+qnYuH7wP4D'"</definedName>
    <definedName name="_AMO_SingleValue_825207699_TaskState.2" hidden="1">"'AJq7BdDcK4DmfgE0DwqgeVgAzaMCaB4XQPOkEJ+wnRNVHpV77Dvu8YwnLy//HSUXwMKpPpjZ0fJUK7GyDwndpBg+pfxpjnwnWaYiSzszFBXjKa4mlHU6sZziSYvu94FxQrAcHy/1SNcj637ZkXHOKPrLHLCF7xl+S5SjvRBmCePWygVp1ogoa0OpOg2SKkjqG5xL/dXxa+BK1eN3ymnqVE99omtL6ixvhNagE9JN4RIlJsDNZeLyGESFP3k'"</definedName>
    <definedName name="_AMO_SingleValue_825207699_TaskState.3" hidden="1">"'MkDMYV8M8NxRMc19tVxLw79Wtn+6SWZe0nBt8PxBsleq8Ty1N9Gs20apEX+oa99zy2vfL9ER4jC063P0xtTdm97gEtNq74jBzKsHb/QgfDlthr6m31CVvWUKpAfEytvpgJUBU2Cv2G/qcZ+yteVbFmV9W/cYXUlARmX8yGmpv4T37B5ZUhX7P8fsekD9wfwLqb13n/4Zy4vS5yfjxxrXXvnAlHKK+SjHwnGSC5TgTLEeZYDnMBMtBJlj2M8'"</definedName>
    <definedName name="_AMO_SingleValue_825207699_TaskState.4" hidden="1">"'GylwmW3Uyw7GSCJR0O58hEFAa3l4zn8Sc0kvPgiqGb49f9ZZJQ1xTN+j4e52eUtkE20KcI1LNGwD4BtmpmD0/EqciGxYhi15ONbJ5WGjQ6GaSVKt0dAs6gjEjoxZk72uei3zChXCc4R0uescbnJZiDLPPbGp7V2Re0j0ZMmYNxtfDs69JYmtDNJXKMZfFcwd7PcJzHliy/jDvcTm0raOLTpZxb+Kx5jhYaxkU+tnmBGmwhnt0ubQt1mgmJi'"</definedName>
    <definedName name="_AMO_SingleValue_825207699_TaskState.5" hidden="1">"'2d1dmD3pS6p1AKw/toX/kCOE9jlvH0TOa/Thq1/pr6K6KeI8Y0xyThResYqz22CEn06Nz9BfDhLuOPHKxp9eWv1du+sHgTv6wwoEpUox/9GcF7de3WULgpegRrH5OxzXOG6a+L/GSO/lFn03v4v0spetCpvlJfaHD3E99tSF1Vcz6zR2Hw9dwNRN8rfRo1/hecsDXxX18CjJ4vssm5uaaykm3PO6Uc9L3u4IZtYNo5fopVVgemMdSDFDT5V'"</definedName>
    <definedName name="_AMO_SingleValue_825207699_TaskState.6" hidden="1">"'yLxZNmBrP8ueR3AED6cbV3dx5jgktJyTSDYPIks545S8513HMKTMoopzzumIJJf9XA6z7YMl+YqSOCXUdSXhq0mGhEnOTD1ao8H8istw4bqTdr4sal1C8VzsrAkfu2vCx96a8LG/JnwcrAkfh2vCx9Ga8HG8JnycrAkfcn3FqjmpJIpiQasn3FF8QNE2ffkXT17+BVz+gUxDROUpk6PR3qjtXvdgw946RjaCZ123AsZPwyV10qlGztlKHaS'"</definedName>
    <definedName name="_AMO_SingleValue_825207699_TaskState.7" hidden="1">"'hFJavqJJnPdPcw3GKuw0Tsoajk0qKTgTnYetlVEtJZ1FNUD1HGW1T2qZWY1M72qq0VWVuVbvaqrRVZW5Ve9qqtFVlblX72qq0VWVuVQfaqrRVZW5Vh9qqtFVlblVH2qq0VWVuVcfaqrRVZW5VJ9qqtFWtYBR0W9uVtitfu4qCjJ5FtOcu463rqZnrtdvE8/qu7fHbY6SIGemgPVaK4IVbxnNh1FvMu8NNMWsE/HZDKMY2/HZI0KsVnG8r+U'"</definedName>
    <definedName name="_AMO_SingleValue_825207699_TaskState.8" hidden="1">"'c92wstG/lqbEg6MwK1kl3sS0cryg8XEwHTydKJ5D9oDW3QOzk2H3XWpzcnhw4s3vX/Q/LC7pIl4kiULbnelxce03nH3ZZULm9Y9K4YYucGvj9Ituu4nW+Mpl+//wVXcn8Sjo+v/31QcAbtrrG6VdxeaO/7R5WUNrnqbF74Mp7z8Xc5z7VX016tYK+mZmLav2n/lt6/8fd8TiHROc4+4VPXPk77uMJ9nF+/W/s57eey8HMN2pND+zjt49bFx'"</definedName>
    <definedName name="_AMO_SingleValue_825207699_TaskState.9" hidden="1">"'4kxTu3ftH9bZtaphhZYY1eMv8V9qbM47eGW9nAqluAdQ/ooP2F8fxAxvi0kt999D27Lm9vibtHWbuDJ2kzsm9DWLU63uMJzCnVOKn5W8bO37vxn2+WuMKfsT7Zu8+r5zmdvwqxlspEwZ93G8enqXnK21cfz316fnN4Xh/Ee5T2Tec1gSsm80DUT/400cOywc+HoP2zGDmyVhHrcBB/Hf59DI0Jefi9uTEomn+rTNlXKiiKRf+3XKHeY496I'"</definedName>
    <definedName name="_AMO_SingleValue_921006515_TaskState" hidden="1">"'Partitions:11'"</definedName>
    <definedName name="_AMO_SingleValue_921006515_TaskState.0" hidden="1">"'SASUNICODE7V1Zb+JIEK7nlfY/oKw0D6PZkJBbO4cI5BgNQ1ggGe0TYgjZQcs1YDITrfa/79fVbl9gYzvGdlALAXZ3dR3dn6urD9tv6QP9pBENqUCP1KcZzWlAExrTO9qhfdqlPfwXkDOmHtLvkTumvzl3QQY90O90iuMP9J5+pV/oLbWpCx7/oMwYRyOUFLQtUI/w6ULCE/IE1VdI7YN2x5ItKA8h84DlKtmC38jkUsZ3ly7oCr9K0hzHV'"</definedName>
    <definedName name="_AMO_SingleValue_921006515_TaskState.1" hidden="1">"'ebUA48B+PbpDcrdeew5At0+eO5Z3AVVBZoNYckCtELXMX6FZTNwHzJFA+dC1wH4f0LuEyRPILfPXIW0I9RBH3XRg+Zf6Qy/h1SCrDOc7Vg1c8fWDyzLK+Ay5KMe5EktvbVm4MzAWQeWV/m4a/KZB3B2c+mxbd/ZJlmfwt4654nzHs7nfKYkzFHSMPUT7TZmumJIeTOU+5GKpCZLemQ5C6SlIdOw0kWbGXyUrtwxl05D5pSviccUseOWuJ+B'"</definedName>
    <definedName name="_AMO_SingleValue_921006515_TaskState.10" hidden="1">"'PVd0qXDxmePpArST/GTdh31z1S7OnGg2yDmia5N8ctzcrDn1roDob8jaRQ0NaWiO6uX7vrw+Pp5F3uglvs5eTssal1bEjn7tU7T4vaf/AQ=='"</definedName>
    <definedName name="_AMO_SingleValue_921006515_TaskState.2" hidden="1">"'zFIGMg8ykHmYgcyjDGQeZyDzJAOZpxnIPMvEJ+ylJFX0yj36hjQR8aTl5b+h5AJchNR7MzratNTviC/EN21rldxs6voJeR3zN0vZm7K+GCriVNQNjtumHDMb0CxadKpKO6NSL0cZ839GmpuPnb7DOdLKXf64xw3eUYM9MpDU3lGAoDG4hNB1hK+gLdJrjuq7XNcFlBqwLmNrrFAARZFe0W8YG1XpD/OojKNV0d+blZRSioxQo8nwRrXv6F+'"</definedName>
    <definedName name="_AMO_SingleValue_921006515_TaskState.3" hidden="1">"'qIecc454azl7hmlmAxuBS9vF/gZo4cRJNn2X/+3olXQEf2V7hNfbnVOC283rD8JwLIWw52xpLTrfGkpOtseR4ayw52hpLDrfGkoOtsaS0NZbsb40lL9cO52znS7DCHbN7Y+ZznE14dt4ZMSuqOlvR53i3Z80LfwRt2Yzaxby6Gi8ISTKqlCPNmTVn6i+/zrPjfvLLnDoEnYgi56YGNY6R+zxesY/lGGbC9RNe/g2O1eijxjKM2Lr4a6CkO6'"</definedName>
    <definedName name="_AMO_SingleValue_921006515_TaskState.4" hidden="1">"'XNA0dLTkq3PhXk1egW45l6SJv9eTWR9+XZXBqomyvg8Ll8roGsKj4XoS0rRqjRYqi2j4dTGwUNfLuQ3jdHP0aKCA3SIh1sXqIFm/B97WdjQfi28HzSw0Gwv7xG6XukqbH/Nb5dTpkF+odk2l9JLeN8Zs31pIuAOq7eJNpfeLk6fss5xECwL1Ct0OYeuJtyL7VKelotf8Ot/9yWv4IHKYNTlTqw4gbfMmx+WRiwaz/JWKXFdHJ/RBS5Yesuz'"</definedName>
    <definedName name="_AMO_SingleValue_921006515_TaskState.5" hidden="1">"'Aytom5yXtQ9BqqUcxZXpS2vvIvUO7R+kzUdseUqBhU0eyu4RN8DEaaEdydE8P6HIXNS8+oP1rywOBM2XLpS4s78r1tJz16L/ZzoUcqJHgc50eMwJ3oc5USP45zocZITPU5zosdZTvRQOwI2rUkxUi/mtw7s7sUH3NvGL/+0FJffQss/EWnIXnlqzRQt99ruVVubtk1h1l93fWZcgi11yimvXb1VdRBHUlC84rU86TXnHj7nSK2blBV8OrGs'"</definedName>
    <definedName name="_AMO_SingleValue_921006515_TaskState.6" hidden="1">"'6KzRPGi134uUeIhqQOoFymhMaUxtBlP7GlUaVYmjqqRRpVGVOKoONKo0qhJH1aFGlUZV4qg60qjSqEocVccaVRpViaPqRKNKoypxVJ1qVGlUJY6qM40qjaoNzILuaVxpXK3E1TrK9auI9tpluH09FXOHZ4t1zu/enlVPxchiRdrvqSBZ6CKQ8SMz6U1afiZLNi2y6k56vUfAeVfB6r7Gvvaf299UaMh1NvetleR6nHiy1nm/bPqdeLZ01ur'"</definedName>
    <definedName name="_AMO_SingleValue_921006515_TaskState.7" hidden="1">"'vt3P1is8XSPHuJlF61KjP9xINHVyUPU38zvAvrq6BefXYJQuskSxbcN37JP2UM8V9LXm1vKF1u6xbyBO056BOdve08x6qOdsifUy0vdO3OHtgHUfMT+y6vffwfCC5Kzy9vdPL1DYebJp4mNx0DC19mYi0xD1XF9qraa+WsVfzxj/av2n/Ft+/ibtrzmHRBY4+4lvTPk77uMx93KrRrvZz2s8l4efqfO+89nHax+XFx8mZRe3ftH97jn+7hm'"</definedName>
    <definedName name="_AMO_SingleValue_921006515_TaskState.8" hidden="1">"'23/ARzce90S3s47eEy93DeGfLwPs7/ORt96Doh8VQNOZcua9m+u93fb+Tp6k5/xU09GeKc/qK8ra2lu6b1EtZQoo3LnW0bxqerN1u0UGefXH48nP9e9snxfXGQ7uu8ZzSvGSQpL6vmRYeP9y9XYa9qIG3EdPehrljnkzhETe4E8muw/r0lf7KZNuiYu1OKLl8czkpVom15kWh1YZdzYttObQXwsWOCgodPgbXvcy/6ENgzhZN0yT2igbQJ6'"</definedName>
    <definedName name="_AMO_SingleValue_921006515_TaskState.9" hidden="1">"'x1FQnFN3dg9/rIHDVuLNyTealN1xQ9Obu6SE6beMWOKr8CHsuELODXhlew8dfU7c0ZIn5k6SF/pH6vZvrTkKHuH3OXn4czMWq7H5H1v2twG3dS0VdbMlH8bfF3MzZGHHPX4x1viHUBPDh5VfjuRM860RzPeFnfXvl/6ptAgnhEZFgt+z5L0IqOGa0C0SJXKXO/LCJEUTVLvf1qwl7K1dWsx9yBpHU7cV9eqlhZWTy1k+7dG8JOVROtO+JlC'"</definedName>
    <definedName name="_AMO_SingleValue_991905274_TaskState" hidden="1">"'Partitions:13'"</definedName>
    <definedName name="_AMO_SingleValue_991905274_TaskState.0" hidden="1">"'SASUNICODE7V3pb+I4FPfnlfZ/QF1pPoxmS+ldzSUKPUZDoQudjvYTopTOoOUaAp2tVvu/78/PcQ7nIAkhAdaKgMR5fpefn59fHPOOfWR/syEbsAJ7Zj02ZQbrszEbsfdsh5XYLtvDbwF3RqyL8kfcHbFvdHfOZuyJ/c5Ocf6RfWC/sl/YO3bHOsDxF+qMcDZETQ7bAvQQRwcUXnCPQz2Aag+wOxZtDnkImgdEV9Lm+IYmljI+u+yCXeFbU'"</definedName>
    <definedName name="_AMO_SingleValue_991905274_TaskState.1" hidden="1">"'jJwXiVMXeDoA2+PvUG9e0WeI8CVgHPPws6hKuBsAEnmgOW8jvDNJZsC+4AgbnHNee0D/2fcfQHlMej2CCundgQd9KCLLjh/YGf4PmT7oHWGqx1LM/ckfd+SvAIsAzrrgp7gUtXaDFczXLUheZXOOyYeIwSzG0uXZPtBMgl9cnnrdI9fd3Ft0JWkYKDmzOSPt9uI4IoR6U1R72cmlJpE6ZnozFGWBc2ZVc7bbEZn2dIdUe0saE6oTzxnaDtu'"</definedName>
    <definedName name="_AMO_SingleValue_991905274_TaskState.10" hidden="1">"'ImTl96KOSfHkU33apkpZVCTyb/0KxQ4zlA0J7jES5869pri/2AnFd0tW2PVofDWepm2uvywuwZN7lGtb2RWes1gFfrFbeBqYVT9h/3NPm44ZfS9PR7aCjTUtjHxnbXe+Jz0aqt7T1EhcOw6mXYzcK+0RUMZ28fquXc89nsrSVggee6ZWUPAUiHsxpj6Feq1olC5pVJ2hbEx8L6Ywp1G8Zs00/f4ZQNV5uA7t+Zo3/o2q7Qb18qpr9ufE5q4'"</definedName>
    <definedName name="_AMO_SingleValue_991905274_TaskState.11" hidden="1">"'pfMKOOSN8QP+Qsn4FpiZiSvuejN2cd4Yon5o8iEg3eKZtR8IH4LPkqH8PCO9uhlOzRepL4H80Zb8D7MSUWWhoQt+31F8MM2MrssXBs2Y7WpNabinZAtujqC3vboUobeMcD0SWYk69te7RFOfv2axTps8ERzqtykvvcPAdaScOfavcxWnJqDgXtZ7EwGsJewjX+qr6HB9Nova4oP9zUFuqBo/Ebb7KymTZ3hYTEE0m/518TmODza2bC0Np2b'"</definedName>
    <definedName name="_AMO_SingleValue_991905274_TaskState.12" hidden="1">"'i90a8tuNwTy4Mk03uTes+Ydt3sMuf8RPa7G9YheR5MfLadR/ln9V1cOT2GnaswqKbYcdkwdSf/NTX+P7jvQkNcRtEfxf/Rq2NuMonUOX5ynlVMXo73fSL+oPYpWvg+sP8A'"</definedName>
    <definedName name="_AMO_SingleValue_991905274_TaskState.2" hidden="1">"'iqUcaO7nQPMgB5qHOdA8yoHmcQ40T3KgeZoDzbNcfMJeRlT5qNxl31HGI56svPx31JwDC6f6aEZHy1MtRoo+JPQtjeETip9miHfiRSqytjNCUTGe42pMUacTyznuNKm8B4xjguX4eK0nuh5a5TuOiHNKo7+MAZv4nuK3QDHaC2GWMG6tXJJmjQV1bShVp0FSBUndwLnUXw2/Bq5UPX6nmKZG7dQjurakzvpGaAs6Id0UrlBjDNxcJi6PQVT'"</definedName>
    <definedName name="_AMO_SingleValue_991905274_TaskState.3" hidden="1">"'4nacAOYNx1c1zQ8E089V2MQb/Xt366S6edUnLaeD7kWDL1OY96mliXrOJViXmUjcoc8trl+/QHeExdulwz8fU2Zg94xLQ6uyKw8yoBu/3Q3w4bJG9ptlSh7xlAbX6xMvImoMVAFFkr9hvmHNW2VvzrIwzv6j6jS+koCIi/3g01NnCe/YPLKkM/V7g9z0gf6B8DOpvXef/hnLi9Lnx+PGOa6994Qo4RHtF5zgYU4HaTh1lomMuRJDlbGskOd'"</definedName>
    <definedName name="_AMO_SingleValue_991905274_TaskState.4" hidden="1">"'0aSU62RpLjrZHkaGskOdwaSQ62RpL9rZGktDWSbK4czizyJkjhjqqjzRDGlPl/dM25Nmce4C+ThLqh2U/PJ0LdRmnrZIc9mrF0rScmnwBbNmebz8SpyJ5wXsS8wD173Tyt1OlpVpBWylQ6AJxBM2ihF2euwT4XeaYx9bvgOX38DEd0XoI5SDMfUsG9GvuC/lGPKHMwribufV0ayy10cwX/tiyea9h7FcdFZMmyy9CE26ltBbf4dChHI3zWL'"</definedName>
    <definedName name="_AMO_SingleValue_991905274_TaskState.5" hidden="1">"'EMLDeMiG9u8RAs2MabeLW0LfMyMjmd1dmDn3q6o1hyw/toX/kDmle163lyWXAfQgq1/ptyWyGuJfPiIZBwrmVSV5xZBiRygm58gPpw13OPHK8rWv7Wyo/dWxonnxvo0EhUoJ/SN4Ly69+oo2Sh4DWockzNHdY3rjol/G0d+KbPI9v1fpJVZV1XeRV5qc/QQ3W9LXZRxPbWe3mXruesYdRf520XPS8Jjljq+y2vg0eON7LJt7mie1sk45vSj'"</definedName>
    <definedName name="_AMO_SingleValue_991905274_TaskState.6" hidden="1">"'npU9NMgmlh3Hr9DLysBUZW1I0cCnDJk3ywZs7ac58wgewcPpRtVdlGfiElo+w4733FzWco5Tssy77m1AkUUZ55zTIUku57kcZs8HS/wViFFqqOsQw1cfDgiTXMnwZD095FdchktXSdL1FYvWseXPRWlN+NhfEz4O1oSPwzXh42hN+DheEz5O1oSP0zXh42xN+JDr8VbNSTHWKBa02s49ivdptE1e/8UTl38Bl38g0hCj8oTJbLR31Havk7N'"</definedName>
    <definedName name="_AMO_SingleValue_991905274_TaskState.7" hidden="1">"'h7xyZjeBVOrsB+dNwSZ10+Nqn8DU+UgdJKIXFK6rkaa9M6uI4R2ndhKzgaCeSor2A87D1laqlJLOoW1C9QB1tU9qmVmNTJW1V2qpSt6p9bVXaqlK3qgNtVdqqUreqQ21V2qpSt6ojbVXaqlK3qmNtVdqqUreqE21V2qpSt6pTbVXaqlK3qjNtVdqqVpAF3dN2pe3K164WQS5+img/u4y2rqdirtduEc/ru7bHb0+qPJ5IB+3JlQcv3DJ+5k'"</definedName>
    <definedName name="_AMO_SingleValue_991905274_TaskState.8" hidden="1">"'a9ybw7ouWzRsBv95x8bMNvRx29WsH5tpL/qGd7oWVHvgobkM6MQK2kN/Ylo7XID+czAiaTpb2Q/6A1tEHv5Nh81FiP3pwcOLB41/8PyAu7axaII1G34HpXV3hMZ4m7L6lcNtjiXZTETj98P6l013E73xhNvn7/C67kflYcH1//+6jgDNqNaXWruL3Q3vePigltctXRvPBlPObj73JeaK+mvVrOXk2NxLR/0/4tuX/j7/mcQ6ILnH3Cp6Z9n'"</definedName>
    <definedName name="_AMO_SingleValue_991905274_TaskState.9" hidden="1">"'PZxufs4v3m39nPaz6Xh5+q0J4f2cdrHrYuPEzlO7d+0f1vmqVMFPbDCrhl/i/tKR3Hawy3t4VQswTuG9FB/zPj+ICK/LSS3330P7sub2+Pu0Nca8GQtJvZNaOkep3tc7jGF+kwqelSx7b07+6ftcleYc/YnW7fn6tk+z96Ep5bxMmHOto3i09W95Gyrj+a/vT45uS8O432R94znNYMpxfNCN0z8l17fscPOpWP+sBk7sBVj6nETfBz//Rk6'"</definedName>
    <definedName name="_AMO_UniqueIdentifier" hidden="1">"'1b747e39-c320-4639-b18d-8c13a71b5592'"</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3" hidden="1">SAREM_PV!$H$224:$H$269</definedName>
    <definedName name="a">#REF!</definedName>
    <definedName name="aa">'[2]Oil Consumption – barrels'!#REF!</definedName>
    <definedName name="aaa">[3]EAF!#REF!</definedName>
    <definedName name="AGR">[4]Index!$C$7</definedName>
    <definedName name="appendixD">#REF!</definedName>
    <definedName name="area">'[5]Burn Rates'!$A$3:$R$47</definedName>
    <definedName name="assump">[5]Assumptions!$A$1:$J$19</definedName>
    <definedName name="av">'[6]1999 PLAN'!$DJ$1</definedName>
    <definedName name="AVAIL">#REF!</definedName>
    <definedName name="AVAILABILITY">#REF!</definedName>
    <definedName name="b">#REF!</definedName>
    <definedName name="BB">[5]PLAN!$U$1:$AO$36</definedName>
    <definedName name="burn">'[6]1999 PLAN'!$S$1:$AG$21</definedName>
    <definedName name="CAP">#REF!</definedName>
    <definedName name="capacity">'[6]1999 PLAN'!$CV$1:$DH$42</definedName>
    <definedName name="car">[7]Sheet2!#REF!</definedName>
    <definedName name="cat">[7]Sheet2!$A$3:$A$5</definedName>
    <definedName name="cc">#REF!</definedName>
    <definedName name="coal">'[6]1999 PLAN'!$AL$1:$AY$18</definedName>
    <definedName name="COAL_DEL">'[6]1999 PLAN'!$AL$1:$BB$38</definedName>
    <definedName name="COALBURN">#REF!</definedName>
    <definedName name="cold">'[6]1999 PLAN'!$HL$1</definedName>
    <definedName name="COLDER">'[6]1999 PLAN'!$HL$1</definedName>
    <definedName name="COM">[4]Index!$C$8</definedName>
    <definedName name="dd">#REF!</definedName>
    <definedName name="DEL">#REF!</definedName>
    <definedName name="del_page1">#REF!</definedName>
    <definedName name="DELIVERY">#REF!</definedName>
    <definedName name="DELIVERY_TOTAL">#REF!</definedName>
    <definedName name="Demand.Sectors">[8]Index!$D$2:$J$2</definedName>
    <definedName name="discount_rate">#REF!</definedName>
    <definedName name="dr">#REF!</definedName>
    <definedName name="drate">'[9]TechWATv5 (supwat5)'!$E$3</definedName>
    <definedName name="eaf">'[6]1999 PLAN'!$DJ$1:$DW$32</definedName>
    <definedName name="ee">#REF!</definedName>
    <definedName name="emissions_start">[8]NameConv!$AY$4</definedName>
    <definedName name="emissions_types">[8]NameConv!$AX$3</definedName>
    <definedName name="ENERGY">'[6]1999 PLAN'!$A$1:$M$49</definedName>
    <definedName name="ENERGY_PRINT">'[6]1999 PLAN'!$A$1:$M$51</definedName>
    <definedName name="Energy_Table">#REF!</definedName>
    <definedName name="ENERGY2">'[6]1999 PLAN'!$A$1:$M$51</definedName>
    <definedName name="EnergyTable200809">#REF!</definedName>
    <definedName name="ENRGY">#REF!</definedName>
    <definedName name="EnSO">'[10]EIS Y-E'!#REF!</definedName>
    <definedName name="environ">'[6]1999 PLAN'!$FU$1:$GL$21</definedName>
    <definedName name="epp_start">#REF!</definedName>
    <definedName name="eso">'[10]year-end'!#REF!</definedName>
    <definedName name="etech_data">#REF!</definedName>
    <definedName name="etech_parameters">#REF!</definedName>
    <definedName name="Exist_basic_data_start">#REF!</definedName>
    <definedName name="FF">[5]PLAN!$BA$27:$BO$50</definedName>
    <definedName name="FIVE">#REF!</definedName>
    <definedName name="five_1">#REF!</definedName>
    <definedName name="forecast">#REF!</definedName>
    <definedName name="FOUR">#REF!</definedName>
    <definedName name="FuelNames">[8]NameConv!$B$5:$C$44</definedName>
    <definedName name="GRAPHAREA">#REF!,#REF!,#REF!</definedName>
    <definedName name="HOME">'[6]1999 PLAN'!$B$1</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chtocentimetre">[8]Distribution!$A$17</definedName>
    <definedName name="IND">[4]Index!$C$9</definedName>
    <definedName name="INIT">#REF!</definedName>
    <definedName name="InvConstraint">#REF!</definedName>
    <definedName name="LEAP">#REF!</definedName>
    <definedName name="LF">'[6]1999 PLAN'!$DY$1</definedName>
    <definedName name="LOADFACTOR">#REF!</definedName>
    <definedName name="LOADFACTOR2">#REF!</definedName>
    <definedName name="LOADFACTOR3">#REF!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[8]Index!$A$2</definedName>
    <definedName name="monthlydel">#REF!</definedName>
    <definedName name="MONTHLYDELIVERY">#REF!</definedName>
    <definedName name="New_basic_data_start">'[11]New Capacity basic data'!$B$9</definedName>
    <definedName name="newtech_cat">#REF!</definedName>
    <definedName name="newtech_count">#REF!</definedName>
    <definedName name="newtech_data">#REF!</definedName>
    <definedName name="newtech_parameters">#REF!</definedName>
    <definedName name="Newtech_Start">#REF!</definedName>
    <definedName name="NNN">#REF!</definedName>
    <definedName name="NONLEAP">#REF!</definedName>
    <definedName name="OCLF">[3]EAF!#REF!</definedName>
    <definedName name="OctoberYearEndProj0809">#REF!</definedName>
    <definedName name="ONE">#REF!</definedName>
    <definedName name="ONE_1">#REF!</definedName>
    <definedName name="Page_1">[5]Burn!$B$2:$U$31</definedName>
    <definedName name="Page_2">[5]Burn!$AB$1:$AM$43</definedName>
    <definedName name="page1">#REF!</definedName>
    <definedName name="PAGE10">#REF!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ONE">#REF!</definedName>
    <definedName name="PAGETHREE">#REF!</definedName>
    <definedName name="PAGETWO">#REF!</definedName>
    <definedName name="Pal_Workbook_GUID" hidden="1">"E2D7SR7Q3BDXUD24G1M1SK63"</definedName>
    <definedName name="par_TID_ETech">#REF!</definedName>
    <definedName name="par_TID_Ntech">#REF!</definedName>
    <definedName name="par_TS_ETech">#REF!</definedName>
    <definedName name="PCLF">[12]EAF!$A$1:$O$15</definedName>
    <definedName name="PeakContribution.Wind">#REF!</definedName>
    <definedName name="PEAKING">[3]EAF!#REF!</definedName>
    <definedName name="Plan0809">#REF!</definedName>
    <definedName name="print_burnrates">#REF!</definedName>
    <definedName name="PRINT_FULL_BURN">'[6]1999 PLAN'!$S$1:$AJ$24</definedName>
    <definedName name="PRINT_FULL_ENERGY">'[6]1999 PLAN'!$A$1:$Q$53</definedName>
    <definedName name="Print1">#REF!</definedName>
    <definedName name="printarea">#REF!</definedName>
    <definedName name="RES">[4]Index!$C$10</definedName>
    <definedName name="REV_FEBADJ">#REF!</definedName>
    <definedName name="REV_JANADJ">#REF!</definedName>
    <definedName name="REV_MARADJ">#REF!</definedName>
    <definedName name="REV_OCT">#REF!</definedName>
    <definedName name="REV_SAP">#REF!</definedName>
    <definedName name="REV_SEPTADJ">#REF!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db">'[6]1999 PLAN'!$CH$1:$CT$21</definedName>
    <definedName name="Sector.Agriculture">[8]Index!$D$2</definedName>
    <definedName name="Sector.Commercial">[8]Index!$E$2</definedName>
    <definedName name="Sector.Industry">[8]Index!$F$2</definedName>
    <definedName name="Sector.Power">[8]Index!$I$2</definedName>
    <definedName name="Sector.Residential">[8]Index!$H$2</definedName>
    <definedName name="Sector.Supply">[8]Index!$J$2</definedName>
    <definedName name="Sector.Transport">[8]Index!$G$2</definedName>
    <definedName name="sector_prefix">[8]UPS!$B$6</definedName>
    <definedName name="SEVEN">[5]PLAN!$CT$1:$DJ$32</definedName>
    <definedName name="SIX">#REF!</definedName>
    <definedName name="slide1">#REF!</definedName>
    <definedName name="slide2">#REF!</definedName>
    <definedName name="st">'[6]1999 PLAN'!$BS$1</definedName>
    <definedName name="status">[7]Sheet2!$D$3:$D$4</definedName>
    <definedName name="sto">'[6]1999 PLAN'!$BD$1</definedName>
    <definedName name="STOCK">#REF!</definedName>
    <definedName name="STOCKDAYS">#REF!</definedName>
    <definedName name="stockp">'[6]1999 PLAN'!$BD$1:$BQ$18</definedName>
    <definedName name="stockt">'[6]1999 PLAN'!$BS$1:$CF$18</definedName>
    <definedName name="STP">[3]EAF!#REF!</definedName>
    <definedName name="SUMMARY">#REF!</definedName>
    <definedName name="Summary_Tables">[1]Table1!#REF!</definedName>
    <definedName name="Summary_Tables_10">#REF!</definedName>
    <definedName name="Summary_Tables_11">[1]Table2.1!#REF!</definedName>
    <definedName name="Summary_Tables_14">#REF!</definedName>
    <definedName name="Summary_Tables_15">#REF!</definedName>
    <definedName name="Summary_Tables_17">[1]Table3.7!#REF!</definedName>
    <definedName name="Summary_Tables_18">[1]Table3.6!#REF!</definedName>
    <definedName name="Summary_Tables_19">#REF!</definedName>
    <definedName name="Summary_Tables_2">[1]Table1!#REF!</definedName>
    <definedName name="Summary_Tables_20">[1]Table4!#REF!</definedName>
    <definedName name="Summary_Tables_24">[1]Table8!#REF!</definedName>
    <definedName name="Summary_Tables_25">[1]Table2.2!#REF!</definedName>
    <definedName name="Summary_Tables_26">[1]Table2.2!#REF!</definedName>
    <definedName name="Summary_Tables_27">#REF!</definedName>
    <definedName name="Summary_Tables_28">'[1]Table 2'!#REF!</definedName>
    <definedName name="Summary_Tables_29">'[1]Table 2'!#REF!</definedName>
    <definedName name="Summary_Tables_3">[13]Table2.2!#REF!</definedName>
    <definedName name="Summary_Tables_30">'[1]Table 2'!#REF!</definedName>
    <definedName name="Summary_Tables_31">'[1]Table 2.3'!#REF!</definedName>
    <definedName name="Summary_Tables_32">'[1]Table 2.3'!#REF!</definedName>
    <definedName name="Summary_Tables_34">[1]Table3.8a!#REF!</definedName>
    <definedName name="Summary_Tables_35">[1]Table3.8b!#REF!</definedName>
    <definedName name="Summary_Tables_36">#REF!</definedName>
    <definedName name="Summary_Tables_37">[1]Table3.8c!#REF!</definedName>
    <definedName name="Summary_Tables_38">[1]Table3.6!#REF!</definedName>
    <definedName name="Summary_Tables_4">[13]Table2.2!#REF!</definedName>
    <definedName name="Summary_Tables_44">[1]Table2.1!#REF!</definedName>
    <definedName name="Summary_Tables_45">[1]Table2.2!#REF!</definedName>
    <definedName name="Summary_Tables_46">[1]Table2.2!#REF!</definedName>
    <definedName name="Summary_Tables_5">[13]Table2.2!#REF!</definedName>
    <definedName name="switch1">'[14]Modelled 2019 Emp'!#REF!</definedName>
    <definedName name="TABLE_11">[12]EAF!$A$1:$A$65536</definedName>
    <definedName name="table_41">'[6]1999 PLAN'!$BD$1:$BQ$49</definedName>
    <definedName name="TABLE1">'[6]1999 PLAN'!$A$1:$N$49</definedName>
    <definedName name="TABLE10">'[6]1999 PLAN'!$FC$1:$FR$24</definedName>
    <definedName name="table10_11">#REF!</definedName>
    <definedName name="TABLE11">[12]EAF!$A$1:$O$15</definedName>
    <definedName name="TABLE12">[12]EAF!$A$17:$O$32</definedName>
    <definedName name="table12_13">[3]EAF!#REF!</definedName>
    <definedName name="TABLE13">[3]EAF!#REF!</definedName>
    <definedName name="TABLE14">[12]EAF!$A$34:$O$34</definedName>
    <definedName name="table14_15">[12]EAF!$A$34:$O$34</definedName>
    <definedName name="TABLE15">[3]EAF!#REF!</definedName>
    <definedName name="TABLE2">'[6]1999 PLAN'!$S$1:$AG$25</definedName>
    <definedName name="TABLE3">'[6]1999 PLAN'!$AL$1:$AY$20</definedName>
    <definedName name="table3a">'[6]1999 PLAN'!$AL$1:$AY$34</definedName>
    <definedName name="table4">'[6]1999 PLAN'!$BD$1:$BQ$20</definedName>
    <definedName name="table5">'[6]1999 PLAN'!$BS$1:$CF$22</definedName>
    <definedName name="table6">'[6]1999 PLAN'!$CH$1:$CT$22</definedName>
    <definedName name="table7">'[6]1999 PLAN'!$CV$1:$DH$46</definedName>
    <definedName name="table8">'[6]1999 PLAN'!$DJ$1:$DW$35</definedName>
    <definedName name="table9">'[6]1999 PLAN'!$DY$1:$EL$34</definedName>
    <definedName name="tale12_13">[12]EAF!$A$1:$O$32</definedName>
    <definedName name="THREE">#REF!</definedName>
    <definedName name="TRA">[4]Index!$C$11</definedName>
    <definedName name="TWO">#REF!</definedName>
    <definedName name="TX_Losses">'[15]TX Losses'!$B$2</definedName>
    <definedName name="UCLF">[12]EAF!$A$21:$O$32</definedName>
    <definedName name="XLSIMSI" hidden="1">{"Sim",3,"Output 1","'Reworked data'!$AI$84","Output 2","'Reworked data'!$AJ$84","Output 3","'Reworked data'!$AK$84","1","2","100","0"}</definedName>
    <definedName name="XLSIMSIM" hidden="1">{"Sim",3,"Output 1","'Reworked data'!$AI$84","Output 2","'Reworked data'!$AJ$84","Output 3","'Reworked data'!$AK$84","1","2","100","0"}</definedName>
    <definedName name="Year">#REF!</definedName>
    <definedName name="YTD_ANC">#REF!</definedName>
    <definedName name="YTD_REV">#REF!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M24" i="17" l="1" a="1"/>
  <c r="DM24" i="17" s="1"/>
  <c r="DK24" i="17"/>
  <c r="DM23" i="17" a="1"/>
  <c r="DM23" i="17" s="1"/>
  <c r="DK23" i="17"/>
  <c r="DM22" i="17" a="1"/>
  <c r="DM22" i="17" s="1"/>
  <c r="DK22" i="17"/>
  <c r="DM21" i="17" a="1"/>
  <c r="DM21" i="17" s="1"/>
  <c r="DK21" i="17"/>
  <c r="DM20" i="17" a="1"/>
  <c r="DM20" i="17" s="1"/>
  <c r="DK20" i="17"/>
  <c r="DM19" i="17" a="1"/>
  <c r="DM19" i="17" s="1"/>
  <c r="DK19" i="17"/>
  <c r="DM18" i="17" a="1"/>
  <c r="DM18" i="17" s="1"/>
  <c r="DK18" i="17"/>
  <c r="DM17" i="17" a="1"/>
  <c r="DM17" i="17" s="1"/>
  <c r="DK17" i="17"/>
  <c r="DM16" i="17" a="1"/>
  <c r="DM16" i="17" s="1"/>
  <c r="DK16" i="17"/>
  <c r="DM15" i="17" a="1"/>
  <c r="DM15" i="17" s="1"/>
  <c r="DK15" i="17"/>
  <c r="DO14" i="17" a="1"/>
  <c r="DO14" i="17" s="1"/>
  <c r="DP14" i="17" s="1"/>
  <c r="DQ14" i="17" s="1"/>
  <c r="DM14" i="17" a="1"/>
  <c r="DM14" i="17" s="1"/>
  <c r="DK14" i="17"/>
  <c r="DM13" i="17" a="1"/>
  <c r="DM13" i="17" s="1"/>
  <c r="DK13" i="17"/>
  <c r="DM12" i="17"/>
  <c r="DM12" i="17" a="1"/>
  <c r="DK12" i="17"/>
  <c r="DM11" i="17" a="1"/>
  <c r="DM11" i="17" s="1"/>
  <c r="DK11" i="17"/>
  <c r="DM10" i="17" a="1"/>
  <c r="DM10" i="17" s="1"/>
  <c r="DK10" i="17"/>
  <c r="DM9" i="17" a="1"/>
  <c r="DM9" i="17" s="1"/>
  <c r="DK9" i="17"/>
  <c r="DM8" i="17" a="1"/>
  <c r="DM8" i="17" s="1"/>
  <c r="DK8" i="17"/>
  <c r="DM7" i="17" a="1"/>
  <c r="DM7" i="17" s="1"/>
  <c r="DK7" i="17"/>
  <c r="DM6" i="17" a="1"/>
  <c r="DM6" i="17" s="1"/>
  <c r="DK6" i="17"/>
  <c r="Y79" i="17"/>
  <c r="DD24" i="17" a="1"/>
  <c r="DD24" i="17" s="1"/>
  <c r="DB24" i="17"/>
  <c r="DD23" i="17" a="1"/>
  <c r="DD23" i="17" s="1"/>
  <c r="DB23" i="17"/>
  <c r="DD22" i="17" a="1"/>
  <c r="DD22" i="17" s="1"/>
  <c r="DB22" i="17"/>
  <c r="DD21" i="17" a="1"/>
  <c r="DD21" i="17" s="1"/>
  <c r="DB21" i="17"/>
  <c r="DD20" i="17" a="1"/>
  <c r="DD20" i="17" s="1"/>
  <c r="DB20" i="17"/>
  <c r="DD19" i="17" a="1"/>
  <c r="DD19" i="17" s="1"/>
  <c r="DB19" i="17"/>
  <c r="DD18" i="17" a="1"/>
  <c r="DD18" i="17" s="1"/>
  <c r="DB18" i="17"/>
  <c r="DD17" i="17" a="1"/>
  <c r="DD17" i="17" s="1"/>
  <c r="DB17" i="17"/>
  <c r="DD16" i="17" a="1"/>
  <c r="DD16" i="17" s="1"/>
  <c r="DB16" i="17"/>
  <c r="DD15" i="17" a="1"/>
  <c r="DD15" i="17" s="1"/>
  <c r="DB15" i="17"/>
  <c r="DD14" i="17" a="1"/>
  <c r="DD14" i="17" s="1"/>
  <c r="DB14" i="17"/>
  <c r="DD13" i="17" a="1"/>
  <c r="DD13" i="17" s="1"/>
  <c r="DB13" i="17"/>
  <c r="DD12" i="17" a="1"/>
  <c r="DD12" i="17" s="1"/>
  <c r="DB12" i="17"/>
  <c r="DD11" i="17" a="1"/>
  <c r="DD11" i="17" s="1"/>
  <c r="DB11" i="17"/>
  <c r="DD10" i="17" a="1"/>
  <c r="DD10" i="17" s="1"/>
  <c r="DB10" i="17"/>
  <c r="DD9" i="17" a="1"/>
  <c r="DD9" i="17" s="1"/>
  <c r="DB9" i="17"/>
  <c r="DD8" i="17" a="1"/>
  <c r="DD8" i="17" s="1"/>
  <c r="DB8" i="17"/>
  <c r="DD7" i="17" a="1"/>
  <c r="DD7" i="17" s="1"/>
  <c r="DB7" i="17"/>
  <c r="DD6" i="17" a="1"/>
  <c r="DD6" i="17" s="1"/>
  <c r="DB6" i="17"/>
  <c r="CV24" i="17" a="1"/>
  <c r="CV24" i="17" s="1"/>
  <c r="CT24" i="17"/>
  <c r="CV23" i="17" a="1"/>
  <c r="CV23" i="17" s="1"/>
  <c r="CT23" i="17"/>
  <c r="CV22" i="17" a="1"/>
  <c r="CV22" i="17" s="1"/>
  <c r="CT22" i="17"/>
  <c r="CV21" i="17" a="1"/>
  <c r="CV21" i="17" s="1"/>
  <c r="CT21" i="17"/>
  <c r="CV20" i="17" a="1"/>
  <c r="CV20" i="17" s="1"/>
  <c r="CT20" i="17"/>
  <c r="CV19" i="17" a="1"/>
  <c r="CV19" i="17" s="1"/>
  <c r="CT19" i="17"/>
  <c r="CV18" i="17" a="1"/>
  <c r="CV18" i="17" s="1"/>
  <c r="CT18" i="17"/>
  <c r="CV17" i="17" a="1"/>
  <c r="CV17" i="17" s="1"/>
  <c r="CT17" i="17"/>
  <c r="CV16" i="17" a="1"/>
  <c r="CV16" i="17" s="1"/>
  <c r="CT16" i="17"/>
  <c r="CV15" i="17" a="1"/>
  <c r="CV15" i="17" s="1"/>
  <c r="CT15" i="17"/>
  <c r="CV14" i="17" a="1"/>
  <c r="CV14" i="17" s="1"/>
  <c r="CT14" i="17"/>
  <c r="CV13" i="17" a="1"/>
  <c r="CV13" i="17" s="1"/>
  <c r="CT13" i="17"/>
  <c r="CV12" i="17" a="1"/>
  <c r="CV12" i="17" s="1"/>
  <c r="CT12" i="17"/>
  <c r="CV11" i="17" a="1"/>
  <c r="CV11" i="17" s="1"/>
  <c r="CT11" i="17"/>
  <c r="CV10" i="17" a="1"/>
  <c r="CV10" i="17" s="1"/>
  <c r="CT10" i="17"/>
  <c r="CV9" i="17" a="1"/>
  <c r="CV9" i="17" s="1"/>
  <c r="CT9" i="17"/>
  <c r="CV8" i="17"/>
  <c r="CV8" i="17" a="1"/>
  <c r="CT8" i="17"/>
  <c r="CV7" i="17" a="1"/>
  <c r="CV7" i="17" s="1"/>
  <c r="CT7" i="17"/>
  <c r="CV6" i="17" a="1"/>
  <c r="CV6" i="17" s="1"/>
  <c r="CT6" i="17"/>
  <c r="CM24" i="17" a="1"/>
  <c r="CM24" i="17" s="1"/>
  <c r="CK24" i="17"/>
  <c r="CM23" i="17" a="1"/>
  <c r="CM23" i="17" s="1"/>
  <c r="CK23" i="17"/>
  <c r="CM22" i="17" a="1"/>
  <c r="CM22" i="17" s="1"/>
  <c r="CK22" i="17"/>
  <c r="CM21" i="17" a="1"/>
  <c r="CM21" i="17" s="1"/>
  <c r="CK21" i="17"/>
  <c r="CM20" i="17" a="1"/>
  <c r="CM20" i="17" s="1"/>
  <c r="CK20" i="17"/>
  <c r="CM19" i="17" a="1"/>
  <c r="CM19" i="17" s="1"/>
  <c r="CK19" i="17"/>
  <c r="CM18" i="17" a="1"/>
  <c r="CM18" i="17" s="1"/>
  <c r="CK18" i="17"/>
  <c r="CM17" i="17" a="1"/>
  <c r="CM17" i="17" s="1"/>
  <c r="CK17" i="17"/>
  <c r="CM16" i="17" a="1"/>
  <c r="CM16" i="17" s="1"/>
  <c r="CK16" i="17"/>
  <c r="CM15" i="17" a="1"/>
  <c r="CM15" i="17" s="1"/>
  <c r="CK15" i="17"/>
  <c r="CM14" i="17" a="1"/>
  <c r="CM14" i="17" s="1"/>
  <c r="CK14" i="17"/>
  <c r="CM13" i="17" a="1"/>
  <c r="CM13" i="17" s="1"/>
  <c r="CK13" i="17"/>
  <c r="CM12" i="17" a="1"/>
  <c r="CM12" i="17" s="1"/>
  <c r="CK12" i="17"/>
  <c r="CM11" i="17" a="1"/>
  <c r="CM11" i="17" s="1"/>
  <c r="CK11" i="17"/>
  <c r="CM10" i="17" a="1"/>
  <c r="CM10" i="17" s="1"/>
  <c r="CK10" i="17"/>
  <c r="CM9" i="17" a="1"/>
  <c r="CM9" i="17" s="1"/>
  <c r="CK9" i="17"/>
  <c r="CM8" i="17" a="1"/>
  <c r="CM8" i="17" s="1"/>
  <c r="CK8" i="17"/>
  <c r="CM7" i="17" a="1"/>
  <c r="CM7" i="17" s="1"/>
  <c r="CK7" i="17"/>
  <c r="CM6" i="17" a="1"/>
  <c r="CM6" i="17" s="1"/>
  <c r="CK6" i="17"/>
  <c r="F14" i="17"/>
  <c r="BQ14" i="17" s="1" a="1"/>
  <c r="BQ14" i="17" s="1"/>
  <c r="BR14" i="17" s="1"/>
  <c r="BS14" i="17" s="1"/>
  <c r="D14" i="17"/>
  <c r="BA14" i="17" s="1" a="1"/>
  <c r="BA14" i="17" s="1"/>
  <c r="BB14" i="17" s="1"/>
  <c r="BC14" i="17" s="1"/>
  <c r="Y82" i="17"/>
  <c r="Y81" i="17"/>
  <c r="Y80" i="17"/>
  <c r="W83" i="17"/>
  <c r="W82" i="17"/>
  <c r="W81" i="17"/>
  <c r="W80" i="17"/>
  <c r="W79" i="17"/>
  <c r="W73" i="17"/>
  <c r="W72" i="17"/>
  <c r="W71" i="17"/>
  <c r="W70" i="17"/>
  <c r="CE24" i="17" a="1"/>
  <c r="CE24" i="17" s="1"/>
  <c r="CC24" i="17"/>
  <c r="CE23" i="17" a="1"/>
  <c r="CE23" i="17" s="1"/>
  <c r="CC23" i="17"/>
  <c r="CE22" i="17" a="1"/>
  <c r="CE22" i="17" s="1"/>
  <c r="CC22" i="17"/>
  <c r="CE21" i="17" a="1"/>
  <c r="CE21" i="17" s="1"/>
  <c r="CC21" i="17"/>
  <c r="CE20" i="17" a="1"/>
  <c r="CE20" i="17" s="1"/>
  <c r="CC20" i="17"/>
  <c r="CE19" i="17" a="1"/>
  <c r="CE19" i="17" s="1"/>
  <c r="CC19" i="17"/>
  <c r="CE18" i="17" a="1"/>
  <c r="CE18" i="17" s="1"/>
  <c r="CC18" i="17"/>
  <c r="CG17" i="17" a="1"/>
  <c r="CG17" i="17" s="1"/>
  <c r="CE17" i="17" a="1"/>
  <c r="CE17" i="17" s="1"/>
  <c r="CC17" i="17"/>
  <c r="CG16" i="17" a="1"/>
  <c r="CG16" i="17" s="1"/>
  <c r="CE16" i="17" a="1"/>
  <c r="CE16" i="17" s="1"/>
  <c r="CC16" i="17"/>
  <c r="CG15" i="17" a="1"/>
  <c r="CG15" i="17" s="1"/>
  <c r="CE15" i="17" a="1"/>
  <c r="CE15" i="17" s="1"/>
  <c r="CC15" i="17"/>
  <c r="CE14" i="17" a="1"/>
  <c r="CE14" i="17" s="1"/>
  <c r="CC14" i="17"/>
  <c r="CG13" i="17" a="1"/>
  <c r="CG13" i="17" s="1"/>
  <c r="CH13" i="17" s="1"/>
  <c r="CI13" i="17" s="1"/>
  <c r="CE13" i="17" a="1"/>
  <c r="CE13" i="17" s="1"/>
  <c r="CC13" i="17"/>
  <c r="CG12" i="17" a="1"/>
  <c r="CG12" i="17" s="1"/>
  <c r="CE12" i="17" a="1"/>
  <c r="CE12" i="17" s="1"/>
  <c r="CC12" i="17"/>
  <c r="CG11" i="17" a="1"/>
  <c r="CG11" i="17" s="1"/>
  <c r="CH11" i="17" s="1"/>
  <c r="CI11" i="17" s="1"/>
  <c r="CE11" i="17" a="1"/>
  <c r="CE11" i="17" s="1"/>
  <c r="CC11" i="17"/>
  <c r="CG10" i="17" a="1"/>
  <c r="CG10" i="17" s="1"/>
  <c r="CH10" i="17" s="1"/>
  <c r="CI10" i="17" s="1"/>
  <c r="CE10" i="17" a="1"/>
  <c r="CE10" i="17" s="1"/>
  <c r="CC10" i="17"/>
  <c r="CG9" i="17" a="1"/>
  <c r="CG9" i="17" s="1"/>
  <c r="CE9" i="17" a="1"/>
  <c r="CE9" i="17" s="1"/>
  <c r="CC9" i="17"/>
  <c r="CG8" i="17" a="1"/>
  <c r="CG8" i="17" s="1"/>
  <c r="CE8" i="17" a="1"/>
  <c r="CE8" i="17" s="1"/>
  <c r="CC8" i="17"/>
  <c r="CG7" i="17" a="1"/>
  <c r="CG7" i="17" s="1"/>
  <c r="CE7" i="17" a="1"/>
  <c r="CE7" i="17" s="1"/>
  <c r="CC7" i="17"/>
  <c r="CE6" i="17" a="1"/>
  <c r="CE6" i="17" s="1"/>
  <c r="CC6" i="17"/>
  <c r="BW24" i="17" a="1"/>
  <c r="BW24" i="17" s="1"/>
  <c r="BU24" i="17"/>
  <c r="BW23" i="17" a="1"/>
  <c r="BW23" i="17" s="1"/>
  <c r="BU23" i="17"/>
  <c r="BW22" i="17" a="1"/>
  <c r="BW22" i="17" s="1"/>
  <c r="BU22" i="17"/>
  <c r="BW21" i="17" a="1"/>
  <c r="BW21" i="17" s="1"/>
  <c r="BU21" i="17"/>
  <c r="BW20" i="17" a="1"/>
  <c r="BW20" i="17" s="1"/>
  <c r="BU20" i="17"/>
  <c r="BW19" i="17" a="1"/>
  <c r="BW19" i="17" s="1"/>
  <c r="BU19" i="17"/>
  <c r="BW18" i="17" a="1"/>
  <c r="BW18" i="17" s="1"/>
  <c r="BU18" i="17"/>
  <c r="BY17" i="17" a="1"/>
  <c r="BY17" i="17" s="1"/>
  <c r="BW17" i="17" a="1"/>
  <c r="BW17" i="17" s="1"/>
  <c r="BU17" i="17"/>
  <c r="BY16" i="17" a="1"/>
  <c r="BY16" i="17" s="1"/>
  <c r="BW16" i="17" a="1"/>
  <c r="BW16" i="17" s="1"/>
  <c r="BU16" i="17"/>
  <c r="BY15" i="17" a="1"/>
  <c r="BY15" i="17" s="1"/>
  <c r="BW15" i="17" a="1"/>
  <c r="BW15" i="17" s="1"/>
  <c r="BU15" i="17"/>
  <c r="BW14" i="17" a="1"/>
  <c r="BW14" i="17" s="1"/>
  <c r="BU14" i="17"/>
  <c r="BY13" i="17" a="1"/>
  <c r="BY13" i="17" s="1"/>
  <c r="BZ13" i="17" s="1"/>
  <c r="CA13" i="17" s="1"/>
  <c r="BW13" i="17" a="1"/>
  <c r="BW13" i="17" s="1"/>
  <c r="BU13" i="17"/>
  <c r="BY12" i="17" a="1"/>
  <c r="BY12" i="17" s="1"/>
  <c r="BW12" i="17" a="1"/>
  <c r="BW12" i="17" s="1"/>
  <c r="BU12" i="17"/>
  <c r="BY11" i="17" a="1"/>
  <c r="BY11" i="17" s="1"/>
  <c r="BZ11" i="17" s="1"/>
  <c r="CA11" i="17" s="1"/>
  <c r="BW11" i="17" a="1"/>
  <c r="BW11" i="17" s="1"/>
  <c r="BU11" i="17"/>
  <c r="BY10" i="17" a="1"/>
  <c r="BY10" i="17" s="1"/>
  <c r="BZ10" i="17" s="1"/>
  <c r="CA10" i="17" s="1"/>
  <c r="BW10" i="17" a="1"/>
  <c r="BW10" i="17" s="1"/>
  <c r="BU10" i="17"/>
  <c r="BY9" i="17" a="1"/>
  <c r="BY9" i="17" s="1"/>
  <c r="BW9" i="17" a="1"/>
  <c r="BW9" i="17" s="1"/>
  <c r="BU9" i="17"/>
  <c r="BY8" i="17" a="1"/>
  <c r="BY8" i="17" s="1"/>
  <c r="BW8" i="17" a="1"/>
  <c r="BW8" i="17" s="1"/>
  <c r="BU8" i="17"/>
  <c r="BY7" i="17" a="1"/>
  <c r="BY7" i="17" s="1"/>
  <c r="BW7" i="17" a="1"/>
  <c r="BW7" i="17" s="1"/>
  <c r="BU7" i="17"/>
  <c r="BW6" i="17" a="1"/>
  <c r="BW6" i="17" s="1"/>
  <c r="BU6" i="17"/>
  <c r="BQ24" i="17" a="1"/>
  <c r="BQ24" i="17" s="1"/>
  <c r="BO24" i="17" a="1"/>
  <c r="BO24" i="17" s="1"/>
  <c r="BM24" i="17"/>
  <c r="BQ23" i="17" a="1"/>
  <c r="BQ23" i="17" s="1"/>
  <c r="BO23" i="17" a="1"/>
  <c r="BO23" i="17" s="1"/>
  <c r="BM23" i="17"/>
  <c r="BQ22" i="17" a="1"/>
  <c r="BQ22" i="17" s="1"/>
  <c r="BO22" i="17" a="1"/>
  <c r="BO22" i="17" s="1"/>
  <c r="BM22" i="17"/>
  <c r="BQ21" i="17" a="1"/>
  <c r="BQ21" i="17" s="1"/>
  <c r="BO21" i="17" a="1"/>
  <c r="BO21" i="17" s="1"/>
  <c r="BM21" i="17"/>
  <c r="BQ20" i="17" a="1"/>
  <c r="BQ20" i="17" s="1"/>
  <c r="BO20" i="17" a="1"/>
  <c r="BO20" i="17" s="1"/>
  <c r="BM20" i="17"/>
  <c r="BQ19" i="17" a="1"/>
  <c r="BQ19" i="17" s="1"/>
  <c r="BO19" i="17" a="1"/>
  <c r="BO19" i="17" s="1"/>
  <c r="BM19" i="17"/>
  <c r="BO18" i="17" a="1"/>
  <c r="BO18" i="17" s="1"/>
  <c r="BM18" i="17"/>
  <c r="BQ17" i="17" a="1"/>
  <c r="BQ17" i="17" s="1"/>
  <c r="BO17" i="17" a="1"/>
  <c r="BO17" i="17" s="1"/>
  <c r="BM17" i="17"/>
  <c r="BQ16" i="17" a="1"/>
  <c r="BQ16" i="17" s="1"/>
  <c r="BO16" i="17" a="1"/>
  <c r="BO16" i="17" s="1"/>
  <c r="BM16" i="17"/>
  <c r="BQ15" i="17" a="1"/>
  <c r="BQ15" i="17" s="1"/>
  <c r="BO15" i="17" a="1"/>
  <c r="BO15" i="17" s="1"/>
  <c r="BM15" i="17"/>
  <c r="BO14" i="17" a="1"/>
  <c r="BO14" i="17" s="1"/>
  <c r="BM14" i="17"/>
  <c r="BQ13" i="17" a="1"/>
  <c r="BQ13" i="17" s="1"/>
  <c r="BR13" i="17" s="1"/>
  <c r="BS13" i="17" s="1"/>
  <c r="BO13" i="17" a="1"/>
  <c r="BO13" i="17" s="1"/>
  <c r="BM13" i="17"/>
  <c r="BQ12" i="17" a="1"/>
  <c r="BQ12" i="17" s="1"/>
  <c r="BO12" i="17" a="1"/>
  <c r="BO12" i="17" s="1"/>
  <c r="BM12" i="17"/>
  <c r="BQ11" i="17" a="1"/>
  <c r="BQ11" i="17" s="1"/>
  <c r="BR11" i="17" s="1"/>
  <c r="BS11" i="17" s="1"/>
  <c r="BO11" i="17" a="1"/>
  <c r="BO11" i="17" s="1"/>
  <c r="BM11" i="17"/>
  <c r="BQ10" i="17" a="1"/>
  <c r="BQ10" i="17" s="1"/>
  <c r="BR10" i="17" s="1"/>
  <c r="BS10" i="17" s="1"/>
  <c r="BO10" i="17" a="1"/>
  <c r="BO10" i="17" s="1"/>
  <c r="BM10" i="17"/>
  <c r="BQ9" i="17" a="1"/>
  <c r="BQ9" i="17" s="1"/>
  <c r="BO9" i="17" a="1"/>
  <c r="BO9" i="17" s="1"/>
  <c r="BM9" i="17"/>
  <c r="BQ8" i="17" a="1"/>
  <c r="BQ8" i="17" s="1"/>
  <c r="BO8" i="17" a="1"/>
  <c r="BO8" i="17" s="1"/>
  <c r="BM8" i="17"/>
  <c r="BQ7" i="17" a="1"/>
  <c r="BQ7" i="17" s="1"/>
  <c r="BO7" i="17" a="1"/>
  <c r="BO7" i="17" s="1"/>
  <c r="BM7" i="17"/>
  <c r="BO6" i="17" a="1"/>
  <c r="BO6" i="17" s="1"/>
  <c r="BM6" i="17"/>
  <c r="BI24" i="17" a="1"/>
  <c r="BI24" i="17" s="1"/>
  <c r="BG24" i="17" a="1"/>
  <c r="BG24" i="17" s="1"/>
  <c r="BE24" i="17"/>
  <c r="BI23" i="17" a="1"/>
  <c r="BI23" i="17" s="1"/>
  <c r="BG23" i="17" a="1"/>
  <c r="BG23" i="17" s="1"/>
  <c r="BE23" i="17"/>
  <c r="BI22" i="17" a="1"/>
  <c r="BI22" i="17" s="1"/>
  <c r="BG22" i="17" a="1"/>
  <c r="BG22" i="17" s="1"/>
  <c r="BE22" i="17"/>
  <c r="BI21" i="17" a="1"/>
  <c r="BI21" i="17" s="1"/>
  <c r="BG21" i="17" a="1"/>
  <c r="BG21" i="17" s="1"/>
  <c r="BE21" i="17"/>
  <c r="BI20" i="17" a="1"/>
  <c r="BI20" i="17" s="1"/>
  <c r="BG20" i="17" a="1"/>
  <c r="BG20" i="17" s="1"/>
  <c r="BE20" i="17"/>
  <c r="BG19" i="17" a="1"/>
  <c r="BG19" i="17" s="1"/>
  <c r="BE19" i="17"/>
  <c r="BG18" i="17" a="1"/>
  <c r="BG18" i="17" s="1"/>
  <c r="BE18" i="17"/>
  <c r="BI17" i="17" a="1"/>
  <c r="BI17" i="17" s="1"/>
  <c r="BG17" i="17" a="1"/>
  <c r="BG17" i="17" s="1"/>
  <c r="BE17" i="17"/>
  <c r="BI16" i="17" a="1"/>
  <c r="BI16" i="17" s="1"/>
  <c r="BG16" i="17" a="1"/>
  <c r="BG16" i="17" s="1"/>
  <c r="BE16" i="17"/>
  <c r="BI15" i="17" a="1"/>
  <c r="BI15" i="17" s="1"/>
  <c r="BG15" i="17" a="1"/>
  <c r="BG15" i="17" s="1"/>
  <c r="BE15" i="17"/>
  <c r="BG14" i="17" a="1"/>
  <c r="BG14" i="17" s="1"/>
  <c r="BE14" i="17"/>
  <c r="BI13" i="17" a="1"/>
  <c r="BI13" i="17" s="1"/>
  <c r="BJ13" i="17" s="1"/>
  <c r="BK13" i="17" s="1"/>
  <c r="BG13" i="17" a="1"/>
  <c r="BG13" i="17" s="1"/>
  <c r="BE13" i="17"/>
  <c r="BI12" i="17" a="1"/>
  <c r="BI12" i="17" s="1"/>
  <c r="BG12" i="17" a="1"/>
  <c r="BG12" i="17" s="1"/>
  <c r="BE12" i="17"/>
  <c r="BI11" i="17" a="1"/>
  <c r="BI11" i="17" s="1"/>
  <c r="BJ11" i="17" s="1"/>
  <c r="BK11" i="17" s="1"/>
  <c r="BG11" i="17" a="1"/>
  <c r="BG11" i="17" s="1"/>
  <c r="BE11" i="17"/>
  <c r="BI10" i="17" a="1"/>
  <c r="BI10" i="17" s="1"/>
  <c r="BJ10" i="17" s="1"/>
  <c r="BK10" i="17" s="1"/>
  <c r="BG10" i="17" a="1"/>
  <c r="BG10" i="17" s="1"/>
  <c r="BE10" i="17"/>
  <c r="BI9" i="17" a="1"/>
  <c r="BI9" i="17" s="1"/>
  <c r="BG9" i="17" a="1"/>
  <c r="BG9" i="17" s="1"/>
  <c r="BE9" i="17"/>
  <c r="BI8" i="17" a="1"/>
  <c r="BI8" i="17" s="1"/>
  <c r="BG8" i="17" a="1"/>
  <c r="BG8" i="17" s="1"/>
  <c r="BE8" i="17"/>
  <c r="BI7" i="17" a="1"/>
  <c r="BI7" i="17" s="1"/>
  <c r="BG7" i="17" a="1"/>
  <c r="BG7" i="17" s="1"/>
  <c r="BE7" i="17"/>
  <c r="BG6" i="17" a="1"/>
  <c r="BG6" i="17" s="1"/>
  <c r="BE6" i="17"/>
  <c r="BA24" i="17" a="1"/>
  <c r="BA24" i="17" s="1"/>
  <c r="AY24" i="17" a="1"/>
  <c r="AY24" i="17" s="1"/>
  <c r="AW24" i="17"/>
  <c r="BA23" i="17" a="1"/>
  <c r="BA23" i="17" s="1"/>
  <c r="AY23" i="17" a="1"/>
  <c r="AY23" i="17" s="1"/>
  <c r="AW23" i="17"/>
  <c r="BA22" i="17" a="1"/>
  <c r="BA22" i="17" s="1"/>
  <c r="AY22" i="17" a="1"/>
  <c r="AY22" i="17" s="1"/>
  <c r="AW22" i="17"/>
  <c r="BA21" i="17" a="1"/>
  <c r="BA21" i="17" s="1"/>
  <c r="AY21" i="17" a="1"/>
  <c r="AY21" i="17" s="1"/>
  <c r="AW21" i="17"/>
  <c r="BA20" i="17" a="1"/>
  <c r="BA20" i="17" s="1"/>
  <c r="AY20" i="17" a="1"/>
  <c r="AY20" i="17" s="1"/>
  <c r="AW20" i="17"/>
  <c r="BA19" i="17" a="1"/>
  <c r="BA19" i="17" s="1"/>
  <c r="AY19" i="17" a="1"/>
  <c r="AY19" i="17" s="1"/>
  <c r="AW19" i="17"/>
  <c r="AY18" i="17" a="1"/>
  <c r="AY18" i="17" s="1"/>
  <c r="AW18" i="17"/>
  <c r="BA17" i="17" a="1"/>
  <c r="BA17" i="17" s="1"/>
  <c r="AY17" i="17" a="1"/>
  <c r="AY17" i="17" s="1"/>
  <c r="AW17" i="17"/>
  <c r="BA16" i="17" a="1"/>
  <c r="BA16" i="17" s="1"/>
  <c r="AY16" i="17" a="1"/>
  <c r="AY16" i="17" s="1"/>
  <c r="AW16" i="17"/>
  <c r="BA15" i="17" a="1"/>
  <c r="BA15" i="17" s="1"/>
  <c r="AY15" i="17" a="1"/>
  <c r="AY15" i="17" s="1"/>
  <c r="AW15" i="17"/>
  <c r="AY14" i="17" a="1"/>
  <c r="AY14" i="17" s="1"/>
  <c r="AW14" i="17"/>
  <c r="BA13" i="17" a="1"/>
  <c r="BA13" i="17" s="1"/>
  <c r="BB13" i="17" s="1"/>
  <c r="BC13" i="17" s="1"/>
  <c r="AY13" i="17" a="1"/>
  <c r="AY13" i="17" s="1"/>
  <c r="AW13" i="17"/>
  <c r="BA12" i="17" a="1"/>
  <c r="BA12" i="17" s="1"/>
  <c r="AY12" i="17" a="1"/>
  <c r="AY12" i="17" s="1"/>
  <c r="AW12" i="17"/>
  <c r="BA11" i="17" a="1"/>
  <c r="BA11" i="17" s="1"/>
  <c r="BB11" i="17" s="1"/>
  <c r="BC11" i="17" s="1"/>
  <c r="AY11" i="17" a="1"/>
  <c r="AY11" i="17" s="1"/>
  <c r="AW11" i="17"/>
  <c r="BA10" i="17" a="1"/>
  <c r="BA10" i="17" s="1"/>
  <c r="BB10" i="17" s="1"/>
  <c r="BC10" i="17" s="1"/>
  <c r="AY10" i="17" a="1"/>
  <c r="AY10" i="17" s="1"/>
  <c r="AW10" i="17"/>
  <c r="BA9" i="17" a="1"/>
  <c r="BA9" i="17" s="1"/>
  <c r="AY9" i="17" a="1"/>
  <c r="AY9" i="17" s="1"/>
  <c r="AW9" i="17"/>
  <c r="BA8" i="17" a="1"/>
  <c r="BA8" i="17" s="1"/>
  <c r="AY8" i="17" a="1"/>
  <c r="AY8" i="17" s="1"/>
  <c r="AW8" i="17"/>
  <c r="BA7" i="17" a="1"/>
  <c r="BA7" i="17" s="1"/>
  <c r="AY7" i="17" a="1"/>
  <c r="AY7" i="17" s="1"/>
  <c r="AW7" i="17"/>
  <c r="AY6" i="17" a="1"/>
  <c r="AY6" i="17" s="1"/>
  <c r="AW6" i="17"/>
  <c r="AS7" i="17" a="1"/>
  <c r="AS7" i="17" s="1"/>
  <c r="AS8" i="17" a="1"/>
  <c r="AS8" i="17" s="1"/>
  <c r="AS9" i="17" a="1"/>
  <c r="AS9" i="17" s="1"/>
  <c r="AS12" i="17" a="1"/>
  <c r="AS12" i="17" s="1"/>
  <c r="AS15" i="17" a="1"/>
  <c r="AS15" i="17" s="1"/>
  <c r="AS16" i="17" a="1"/>
  <c r="AS16" i="17" s="1"/>
  <c r="AS17" i="17" a="1"/>
  <c r="AS17" i="17" s="1"/>
  <c r="AS20" i="17" a="1"/>
  <c r="AS20" i="17" s="1"/>
  <c r="AS21" i="17" a="1"/>
  <c r="AS21" i="17" s="1"/>
  <c r="AS22" i="17" a="1"/>
  <c r="AS22" i="17" s="1"/>
  <c r="AS23" i="17" a="1"/>
  <c r="AS23" i="17" s="1"/>
  <c r="AS24" i="17" a="1"/>
  <c r="AS24" i="17" s="1"/>
  <c r="AQ7" i="17" a="1"/>
  <c r="AQ7" i="17" s="1"/>
  <c r="AQ8" i="17" a="1"/>
  <c r="AQ8" i="17" s="1"/>
  <c r="AQ9" i="17" a="1"/>
  <c r="AQ9" i="17" s="1"/>
  <c r="AQ10" i="17" a="1"/>
  <c r="AQ10" i="17" s="1"/>
  <c r="AQ11" i="17" a="1"/>
  <c r="AQ11" i="17" s="1"/>
  <c r="AQ12" i="17" a="1"/>
  <c r="AQ12" i="17" s="1"/>
  <c r="AQ13" i="17" a="1"/>
  <c r="AQ13" i="17" s="1"/>
  <c r="AQ14" i="17" a="1"/>
  <c r="AQ14" i="17" s="1"/>
  <c r="AQ15" i="17" a="1"/>
  <c r="AQ15" i="17" s="1"/>
  <c r="AQ16" i="17" a="1"/>
  <c r="AQ16" i="17" s="1"/>
  <c r="AQ17" i="17" a="1"/>
  <c r="AQ17" i="17" s="1"/>
  <c r="AQ18" i="17" a="1"/>
  <c r="AQ18" i="17" s="1"/>
  <c r="AQ19" i="17" a="1"/>
  <c r="AQ19" i="17" s="1"/>
  <c r="AQ20" i="17" a="1"/>
  <c r="AQ20" i="17" s="1"/>
  <c r="AQ21" i="17" a="1"/>
  <c r="AQ21" i="17" s="1"/>
  <c r="AQ22" i="17" a="1"/>
  <c r="AQ22" i="17" s="1"/>
  <c r="AQ23" i="17" a="1"/>
  <c r="AQ23" i="17" s="1"/>
  <c r="AQ24" i="17" a="1"/>
  <c r="AQ24" i="17" s="1"/>
  <c r="AQ6" i="17" a="1"/>
  <c r="AQ6" i="17" s="1"/>
  <c r="AO7" i="17"/>
  <c r="AO8" i="17"/>
  <c r="AO9" i="17"/>
  <c r="AO10" i="17"/>
  <c r="AO11" i="17"/>
  <c r="AO12" i="17"/>
  <c r="AO13" i="17"/>
  <c r="AO14" i="17"/>
  <c r="AO15" i="17"/>
  <c r="AO16" i="17"/>
  <c r="AO17" i="17"/>
  <c r="AO18" i="17"/>
  <c r="AO19" i="17"/>
  <c r="AO20" i="17"/>
  <c r="AO21" i="17"/>
  <c r="AO22" i="17"/>
  <c r="AO23" i="17"/>
  <c r="AO24" i="17"/>
  <c r="AO6" i="17"/>
  <c r="Y86" i="17" l="1"/>
  <c r="Y85" i="17"/>
  <c r="Y88" i="17" s="1"/>
  <c r="H20" i="17"/>
  <c r="CG20" i="17" s="1" a="1"/>
  <c r="CG20" i="17" s="1"/>
  <c r="D26" i="17"/>
  <c r="E19" i="17" s="1"/>
  <c r="BI19" i="17" s="1" a="1"/>
  <c r="BI19" i="17" s="1"/>
  <c r="D6" i="17"/>
  <c r="BA6" i="17" s="1" a="1"/>
  <c r="BA6" i="17" s="1"/>
  <c r="E6" i="17"/>
  <c r="BI6" i="17" s="1" a="1"/>
  <c r="BI6" i="17" s="1"/>
  <c r="F6" i="17"/>
  <c r="BQ6" i="17" s="1" a="1"/>
  <c r="BQ6" i="17" s="1"/>
  <c r="G6" i="17"/>
  <c r="BY6" i="17" s="1" a="1"/>
  <c r="BY6" i="17" s="1"/>
  <c r="H6" i="17"/>
  <c r="CG6" i="17" s="1" a="1"/>
  <c r="CG6" i="17" s="1"/>
  <c r="C6" i="17"/>
  <c r="AS6" i="17" s="1" a="1"/>
  <c r="AS6" i="17" s="1"/>
  <c r="D18" i="17"/>
  <c r="BA18" i="17" s="1" a="1"/>
  <c r="BA18" i="17" s="1"/>
  <c r="E18" i="17"/>
  <c r="BI18" i="17" s="1" a="1"/>
  <c r="BI18" i="17" s="1"/>
  <c r="F18" i="17"/>
  <c r="BQ18" i="17" s="1" a="1"/>
  <c r="BQ18" i="17" s="1"/>
  <c r="G18" i="17"/>
  <c r="BY18" i="17" s="1" a="1"/>
  <c r="BY18" i="17" s="1"/>
  <c r="H18" i="17"/>
  <c r="CG18" i="17" s="1" a="1"/>
  <c r="CG18" i="17" s="1"/>
  <c r="C18" i="17"/>
  <c r="AS18" i="17" s="1" a="1"/>
  <c r="AS18" i="17" s="1"/>
  <c r="AA70" i="17" l="1"/>
  <c r="AA72" i="17"/>
  <c r="AD72" i="17" s="1"/>
  <c r="AF72" i="17" s="1"/>
  <c r="E14" i="17" s="1"/>
  <c r="BI14" i="17" s="1" a="1"/>
  <c r="BI14" i="17" s="1"/>
  <c r="BJ14" i="17" s="1"/>
  <c r="BK14" i="17" s="1"/>
  <c r="AA80" i="17"/>
  <c r="AD80" i="17" s="1"/>
  <c r="AF80" i="17" s="1"/>
  <c r="I14" i="17" s="1"/>
  <c r="CO14" i="17" s="1" a="1"/>
  <c r="CO14" i="17" s="1"/>
  <c r="CP14" i="17" s="1"/>
  <c r="CQ14" i="17" s="1"/>
  <c r="AA82" i="17"/>
  <c r="AA83" i="17"/>
  <c r="AA81" i="17"/>
  <c r="AA79" i="17"/>
  <c r="AA73" i="17"/>
  <c r="AA88" i="17"/>
  <c r="AA89" i="17" s="1"/>
  <c r="AA71" i="17"/>
  <c r="H21" i="17"/>
  <c r="CG21" i="17" s="1" a="1"/>
  <c r="CG21" i="17" s="1"/>
  <c r="BY20" i="17" a="1"/>
  <c r="BY20" i="17" s="1"/>
  <c r="C19" i="17"/>
  <c r="AS19" i="17" s="1" a="1"/>
  <c r="AS19" i="17" s="1"/>
  <c r="H19" i="17"/>
  <c r="BN6" i="19"/>
  <c r="BN7" i="19" s="1"/>
  <c r="BN8" i="19" s="1"/>
  <c r="BN9" i="19" s="1"/>
  <c r="BN10" i="19" s="1"/>
  <c r="BN11" i="19" s="1"/>
  <c r="BN12" i="19" s="1"/>
  <c r="BN13" i="19" s="1"/>
  <c r="BN14" i="19" s="1"/>
  <c r="BN15" i="19" s="1"/>
  <c r="BN16" i="19" s="1"/>
  <c r="BN17" i="19" s="1"/>
  <c r="BN18" i="19" s="1"/>
  <c r="BN19" i="19" s="1"/>
  <c r="BN20" i="19" s="1"/>
  <c r="BN21" i="19" s="1"/>
  <c r="BN22" i="19" s="1"/>
  <c r="BN23" i="19" s="1"/>
  <c r="BN24" i="19" s="1"/>
  <c r="BN25" i="19" s="1"/>
  <c r="BN26" i="19" s="1"/>
  <c r="BN27" i="19" s="1"/>
  <c r="BN28" i="19" s="1"/>
  <c r="BN29" i="19" s="1"/>
  <c r="BN30" i="19" s="1"/>
  <c r="BN31" i="19" s="1"/>
  <c r="BN32" i="19" s="1"/>
  <c r="BN33" i="19" s="1"/>
  <c r="BN34" i="19" s="1"/>
  <c r="BN35" i="19" s="1"/>
  <c r="BN36" i="19" s="1"/>
  <c r="BN37" i="19" s="1"/>
  <c r="BN38" i="19" s="1"/>
  <c r="BN39" i="19" s="1"/>
  <c r="BN40" i="19" s="1"/>
  <c r="BN41" i="19" s="1"/>
  <c r="BN42" i="19" s="1"/>
  <c r="BN43" i="19" s="1"/>
  <c r="BN44" i="19" s="1"/>
  <c r="BN45" i="19" s="1"/>
  <c r="BR45" i="19"/>
  <c r="BQ45" i="19"/>
  <c r="BL45" i="19"/>
  <c r="BR44" i="19"/>
  <c r="BQ44" i="19"/>
  <c r="BL44" i="19"/>
  <c r="BR43" i="19"/>
  <c r="BQ43" i="19"/>
  <c r="BL43" i="19"/>
  <c r="BR42" i="19"/>
  <c r="BQ42" i="19"/>
  <c r="BL42" i="19"/>
  <c r="BR41" i="19"/>
  <c r="BQ41" i="19"/>
  <c r="BL41" i="19"/>
  <c r="BR40" i="19"/>
  <c r="BQ40" i="19"/>
  <c r="BL40" i="19"/>
  <c r="BR39" i="19"/>
  <c r="BQ39" i="19"/>
  <c r="BL39" i="19"/>
  <c r="BR38" i="19"/>
  <c r="BQ38" i="19"/>
  <c r="BL38" i="19"/>
  <c r="BR37" i="19"/>
  <c r="BQ37" i="19"/>
  <c r="BL37" i="19"/>
  <c r="BR36" i="19"/>
  <c r="BQ36" i="19"/>
  <c r="BL36" i="19"/>
  <c r="BR35" i="19"/>
  <c r="BQ35" i="19"/>
  <c r="BL35" i="19"/>
  <c r="BR34" i="19"/>
  <c r="BQ34" i="19"/>
  <c r="BL34" i="19"/>
  <c r="BR33" i="19"/>
  <c r="BQ33" i="19"/>
  <c r="BL33" i="19"/>
  <c r="BR32" i="19"/>
  <c r="BQ32" i="19"/>
  <c r="BL32" i="19"/>
  <c r="BR31" i="19"/>
  <c r="BQ31" i="19"/>
  <c r="BL31" i="19"/>
  <c r="BR30" i="19"/>
  <c r="BQ30" i="19"/>
  <c r="BL30" i="19"/>
  <c r="BR23" i="19"/>
  <c r="BQ23" i="19"/>
  <c r="BR22" i="19"/>
  <c r="BQ22" i="19"/>
  <c r="BR21" i="19"/>
  <c r="BQ21" i="19"/>
  <c r="BR20" i="19"/>
  <c r="BQ20" i="19"/>
  <c r="BR19" i="19"/>
  <c r="BQ19" i="19"/>
  <c r="BR18" i="19"/>
  <c r="BQ18" i="19"/>
  <c r="BR17" i="19"/>
  <c r="BQ17" i="19"/>
  <c r="BR12" i="19"/>
  <c r="BQ12" i="19"/>
  <c r="BR11" i="19"/>
  <c r="BQ11" i="19"/>
  <c r="BR10" i="19"/>
  <c r="BQ10" i="19"/>
  <c r="BR9" i="19"/>
  <c r="BQ9" i="19"/>
  <c r="BR8" i="19"/>
  <c r="BQ8" i="19"/>
  <c r="BR7" i="19"/>
  <c r="BQ7" i="19"/>
  <c r="BR6" i="19"/>
  <c r="BQ6" i="19"/>
  <c r="BF6" i="19"/>
  <c r="BH3" i="19" s="1"/>
  <c r="BJ45" i="19"/>
  <c r="BI45" i="19"/>
  <c r="BD45" i="19"/>
  <c r="BJ44" i="19"/>
  <c r="BI44" i="19"/>
  <c r="BD44" i="19"/>
  <c r="BJ43" i="19"/>
  <c r="BI43" i="19"/>
  <c r="BD43" i="19"/>
  <c r="BJ42" i="19"/>
  <c r="BI42" i="19"/>
  <c r="BD42" i="19"/>
  <c r="BJ41" i="19"/>
  <c r="BI41" i="19"/>
  <c r="BD41" i="19"/>
  <c r="BJ40" i="19"/>
  <c r="BI40" i="19"/>
  <c r="BD40" i="19"/>
  <c r="BJ39" i="19"/>
  <c r="BI39" i="19"/>
  <c r="BD39" i="19"/>
  <c r="BJ38" i="19"/>
  <c r="BI38" i="19"/>
  <c r="BD38" i="19"/>
  <c r="BJ37" i="19"/>
  <c r="BI37" i="19"/>
  <c r="BD37" i="19"/>
  <c r="BJ36" i="19"/>
  <c r="BI36" i="19"/>
  <c r="BD36" i="19"/>
  <c r="BJ35" i="19"/>
  <c r="BI35" i="19"/>
  <c r="BD35" i="19"/>
  <c r="BJ34" i="19"/>
  <c r="BI34" i="19"/>
  <c r="BD34" i="19"/>
  <c r="BJ33" i="19"/>
  <c r="BI33" i="19"/>
  <c r="BD33" i="19"/>
  <c r="BJ32" i="19"/>
  <c r="BI32" i="19"/>
  <c r="BD32" i="19"/>
  <c r="BJ31" i="19"/>
  <c r="BI31" i="19"/>
  <c r="BD31" i="19"/>
  <c r="BJ30" i="19"/>
  <c r="BI30" i="19"/>
  <c r="BD30" i="19"/>
  <c r="BJ23" i="19"/>
  <c r="BI23" i="19"/>
  <c r="BJ22" i="19"/>
  <c r="BI22" i="19"/>
  <c r="BJ21" i="19"/>
  <c r="BI21" i="19"/>
  <c r="BJ20" i="19"/>
  <c r="BI20" i="19"/>
  <c r="BJ19" i="19"/>
  <c r="BI19" i="19"/>
  <c r="BJ18" i="19"/>
  <c r="BI18" i="19"/>
  <c r="BJ17" i="19"/>
  <c r="BI17" i="19"/>
  <c r="BJ12" i="19"/>
  <c r="BI12" i="19"/>
  <c r="BJ11" i="19"/>
  <c r="BI11" i="19"/>
  <c r="BJ10" i="19"/>
  <c r="BI10" i="19"/>
  <c r="BJ9" i="19"/>
  <c r="BI9" i="19"/>
  <c r="BJ8" i="19"/>
  <c r="BI8" i="19"/>
  <c r="BJ7" i="19"/>
  <c r="BI7" i="19"/>
  <c r="BJ6" i="19"/>
  <c r="BI6" i="19"/>
  <c r="AX6" i="19"/>
  <c r="AZ3" i="19" s="1"/>
  <c r="BB45" i="19"/>
  <c r="BA45" i="19"/>
  <c r="AV45" i="19"/>
  <c r="BB44" i="19"/>
  <c r="BA44" i="19"/>
  <c r="AV44" i="19"/>
  <c r="BB43" i="19"/>
  <c r="BA43" i="19"/>
  <c r="AV43" i="19"/>
  <c r="BB42" i="19"/>
  <c r="BA42" i="19"/>
  <c r="AV42" i="19"/>
  <c r="BB41" i="19"/>
  <c r="BA41" i="19"/>
  <c r="AV41" i="19"/>
  <c r="BB40" i="19"/>
  <c r="BA40" i="19"/>
  <c r="AV40" i="19"/>
  <c r="BB39" i="19"/>
  <c r="BA39" i="19"/>
  <c r="AV39" i="19"/>
  <c r="BB38" i="19"/>
  <c r="BA38" i="19"/>
  <c r="AV38" i="19"/>
  <c r="BB37" i="19"/>
  <c r="BA37" i="19"/>
  <c r="AV37" i="19"/>
  <c r="BB36" i="19"/>
  <c r="BA36" i="19"/>
  <c r="AV36" i="19"/>
  <c r="BB35" i="19"/>
  <c r="BA35" i="19"/>
  <c r="AV35" i="19"/>
  <c r="BB34" i="19"/>
  <c r="BA34" i="19"/>
  <c r="AV34" i="19"/>
  <c r="BB33" i="19"/>
  <c r="BA33" i="19"/>
  <c r="AV33" i="19"/>
  <c r="BB32" i="19"/>
  <c r="BA32" i="19"/>
  <c r="AV32" i="19"/>
  <c r="BB31" i="19"/>
  <c r="BA31" i="19"/>
  <c r="AV31" i="19"/>
  <c r="BB30" i="19"/>
  <c r="BA30" i="19"/>
  <c r="AV30" i="19"/>
  <c r="BB23" i="19"/>
  <c r="BA23" i="19"/>
  <c r="BB22" i="19"/>
  <c r="BA22" i="19"/>
  <c r="BB21" i="19"/>
  <c r="BA21" i="19"/>
  <c r="BB20" i="19"/>
  <c r="BA20" i="19"/>
  <c r="BB19" i="19"/>
  <c r="BA19" i="19"/>
  <c r="BB18" i="19"/>
  <c r="BA18" i="19"/>
  <c r="BB17" i="19"/>
  <c r="BA17" i="19"/>
  <c r="BB12" i="19"/>
  <c r="BA12" i="19"/>
  <c r="BB11" i="19"/>
  <c r="BA11" i="19"/>
  <c r="BB10" i="19"/>
  <c r="BA10" i="19"/>
  <c r="BB9" i="19"/>
  <c r="BA9" i="19"/>
  <c r="BB8" i="19"/>
  <c r="BA8" i="19"/>
  <c r="BB7" i="19"/>
  <c r="BA7" i="19"/>
  <c r="BB6" i="19"/>
  <c r="BA6" i="19"/>
  <c r="AN30" i="19"/>
  <c r="AS30" i="19"/>
  <c r="AT30" i="19"/>
  <c r="AN31" i="19"/>
  <c r="AS31" i="19"/>
  <c r="AT31" i="19"/>
  <c r="AN32" i="19"/>
  <c r="AS32" i="19"/>
  <c r="AT32" i="19"/>
  <c r="AN33" i="19"/>
  <c r="AS33" i="19"/>
  <c r="AT33" i="19"/>
  <c r="AN34" i="19"/>
  <c r="AS34" i="19"/>
  <c r="AT34" i="19"/>
  <c r="AN35" i="19"/>
  <c r="AS35" i="19"/>
  <c r="AT35" i="19"/>
  <c r="AN36" i="19"/>
  <c r="AS36" i="19"/>
  <c r="AT36" i="19"/>
  <c r="AN37" i="19"/>
  <c r="AS37" i="19"/>
  <c r="AT37" i="19"/>
  <c r="AN38" i="19"/>
  <c r="AS38" i="19"/>
  <c r="AT38" i="19"/>
  <c r="AN39" i="19"/>
  <c r="AS39" i="19"/>
  <c r="AT39" i="19"/>
  <c r="AN40" i="19"/>
  <c r="AS40" i="19"/>
  <c r="AT40" i="19"/>
  <c r="AN41" i="19"/>
  <c r="AS41" i="19"/>
  <c r="AT41" i="19"/>
  <c r="AN42" i="19"/>
  <c r="AS42" i="19"/>
  <c r="AT42" i="19"/>
  <c r="AN43" i="19"/>
  <c r="AS43" i="19"/>
  <c r="AT43" i="19"/>
  <c r="AN44" i="19"/>
  <c r="AS44" i="19"/>
  <c r="AT44" i="19"/>
  <c r="AN45" i="19"/>
  <c r="AS45" i="19"/>
  <c r="AT45" i="19"/>
  <c r="AF7" i="19"/>
  <c r="AF8" i="19"/>
  <c r="AF9" i="19"/>
  <c r="AF10" i="19"/>
  <c r="AF11" i="19"/>
  <c r="AF12" i="19"/>
  <c r="AF13" i="19"/>
  <c r="AF14" i="19"/>
  <c r="AF15" i="19"/>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6" i="19"/>
  <c r="AK30" i="19"/>
  <c r="AL30" i="19"/>
  <c r="AK31" i="19"/>
  <c r="AL31" i="19"/>
  <c r="AK32" i="19"/>
  <c r="AL32" i="19"/>
  <c r="AK33" i="19"/>
  <c r="AL33" i="19"/>
  <c r="AK34" i="19"/>
  <c r="AL34" i="19"/>
  <c r="AK35" i="19"/>
  <c r="AL35" i="19"/>
  <c r="AK36" i="19"/>
  <c r="AL36" i="19"/>
  <c r="AK37" i="19"/>
  <c r="AL37" i="19"/>
  <c r="AK38" i="19"/>
  <c r="AL38" i="19"/>
  <c r="AK39" i="19"/>
  <c r="AL39" i="19"/>
  <c r="AK40" i="19"/>
  <c r="AL40" i="19"/>
  <c r="AK41" i="19"/>
  <c r="AL41" i="19"/>
  <c r="AK42" i="19"/>
  <c r="AL42" i="19"/>
  <c r="AK43" i="19"/>
  <c r="AL43" i="19"/>
  <c r="AK44" i="19"/>
  <c r="AL44" i="19"/>
  <c r="AK45" i="19"/>
  <c r="AL45" i="19"/>
  <c r="R32" i="19" a="1"/>
  <c r="R32" i="19" s="1"/>
  <c r="R33" i="19" s="1"/>
  <c r="R34" i="19" s="1"/>
  <c r="R35" i="19" s="1"/>
  <c r="R36" i="19" s="1"/>
  <c r="R37" i="19" s="1"/>
  <c r="R38" i="19" s="1"/>
  <c r="R39" i="19" s="1"/>
  <c r="R40" i="19" s="1"/>
  <c r="R41" i="19" s="1"/>
  <c r="R42" i="19" s="1"/>
  <c r="R43" i="19" s="1"/>
  <c r="R44" i="19" s="1"/>
  <c r="R45" i="19" s="1"/>
  <c r="R30" i="19" a="1"/>
  <c r="R30" i="19" s="1"/>
  <c r="R31" i="19" s="1"/>
  <c r="F59" i="25"/>
  <c r="F60" i="25"/>
  <c r="F61" i="25"/>
  <c r="F62" i="25"/>
  <c r="F58" i="25"/>
  <c r="D42" i="25"/>
  <c r="F26" i="25"/>
  <c r="F31" i="25" s="1"/>
  <c r="G16" i="25"/>
  <c r="G14" i="25"/>
  <c r="G15" i="25" s="1"/>
  <c r="G13" i="25"/>
  <c r="G12" i="25"/>
  <c r="H11" i="25"/>
  <c r="K15" i="25" s="1"/>
  <c r="G11" i="25"/>
  <c r="G10" i="25"/>
  <c r="G9" i="25" s="1"/>
  <c r="AD83" i="17" l="1"/>
  <c r="AF83" i="17" s="1"/>
  <c r="AD79" i="17"/>
  <c r="AF79" i="17" s="1"/>
  <c r="L14" i="17" s="1"/>
  <c r="AD71" i="17"/>
  <c r="AF71" i="17" s="1"/>
  <c r="H14" i="17" s="1"/>
  <c r="CG14" i="17" s="1" a="1"/>
  <c r="CG14" i="17" s="1"/>
  <c r="CH14" i="17" s="1"/>
  <c r="CI14" i="17" s="1"/>
  <c r="AD73" i="17"/>
  <c r="AF73" i="17" s="1"/>
  <c r="G14" i="17" s="1"/>
  <c r="BY14" i="17" s="1" a="1"/>
  <c r="BY14" i="17" s="1"/>
  <c r="BZ14" i="17" s="1"/>
  <c r="CA14" i="17" s="1"/>
  <c r="AD70" i="17"/>
  <c r="AF70" i="17" s="1"/>
  <c r="C14" i="17" s="1"/>
  <c r="AS14" i="17" s="1" a="1"/>
  <c r="AS14" i="17" s="1"/>
  <c r="AT14" i="17" s="1"/>
  <c r="AU14" i="17" s="1"/>
  <c r="AD82" i="17"/>
  <c r="AF82" i="17" s="1"/>
  <c r="J14" i="17" s="1"/>
  <c r="CX14" i="17" s="1" a="1"/>
  <c r="CX14" i="17" s="1"/>
  <c r="CY14" i="17" s="1"/>
  <c r="CZ14" i="17" s="1"/>
  <c r="BY19" i="17" a="1"/>
  <c r="BY19" i="17" s="1"/>
  <c r="CG19" i="17" a="1"/>
  <c r="CG19" i="17" s="1"/>
  <c r="AD81" i="17"/>
  <c r="AF81" i="17" s="1"/>
  <c r="K14" i="17" s="1"/>
  <c r="DF14" i="17" s="1" a="1"/>
  <c r="DF14" i="17" s="1"/>
  <c r="DG14" i="17" s="1"/>
  <c r="DH14" i="17" s="1"/>
  <c r="H22" i="17"/>
  <c r="CG22" i="17" s="1" a="1"/>
  <c r="CG22" i="17" s="1"/>
  <c r="BY21" i="17" a="1"/>
  <c r="BY21" i="17" s="1"/>
  <c r="BP3" i="19"/>
  <c r="L15" i="25"/>
  <c r="M15" i="25"/>
  <c r="L11" i="25"/>
  <c r="L12" i="25"/>
  <c r="M12" i="25"/>
  <c r="K11" i="25"/>
  <c r="K14" i="25"/>
  <c r="M9" i="25"/>
  <c r="L14" i="25"/>
  <c r="BF7" i="19"/>
  <c r="BF8" i="19" s="1"/>
  <c r="BF9" i="19" s="1"/>
  <c r="BF10" i="19" s="1"/>
  <c r="BF11" i="19" s="1"/>
  <c r="BF12" i="19" s="1"/>
  <c r="BF13" i="19" s="1"/>
  <c r="BF14" i="19" s="1"/>
  <c r="BF15" i="19" s="1"/>
  <c r="BF16" i="19" s="1"/>
  <c r="BF17" i="19" s="1"/>
  <c r="BF18" i="19" s="1"/>
  <c r="BF19" i="19" s="1"/>
  <c r="BF20" i="19" s="1"/>
  <c r="BF21" i="19" s="1"/>
  <c r="BF22" i="19" s="1"/>
  <c r="BF23" i="19" s="1"/>
  <c r="BF24" i="19" s="1"/>
  <c r="BF25" i="19" s="1"/>
  <c r="BF26" i="19" s="1"/>
  <c r="BF27" i="19" s="1"/>
  <c r="BF28" i="19" s="1"/>
  <c r="BF29" i="19" s="1"/>
  <c r="BF30" i="19" s="1"/>
  <c r="BF31" i="19" s="1"/>
  <c r="BF32" i="19" s="1"/>
  <c r="BF33" i="19" s="1"/>
  <c r="BF34" i="19" s="1"/>
  <c r="BF35" i="19" s="1"/>
  <c r="BF36" i="19" s="1"/>
  <c r="BF37" i="19" s="1"/>
  <c r="BF38" i="19" s="1"/>
  <c r="BF39" i="19" s="1"/>
  <c r="BF40" i="19" s="1"/>
  <c r="BF41" i="19" s="1"/>
  <c r="BF42" i="19" s="1"/>
  <c r="BF43" i="19" s="1"/>
  <c r="BF44" i="19" s="1"/>
  <c r="BF45" i="19" s="1"/>
  <c r="AZ10" i="19" a="1"/>
  <c r="AZ10" i="19" s="1"/>
  <c r="AX7" i="19"/>
  <c r="AX8" i="19" s="1"/>
  <c r="AX9" i="19" s="1"/>
  <c r="AX10" i="19" s="1"/>
  <c r="AX11" i="19" s="1"/>
  <c r="AX12" i="19" s="1"/>
  <c r="AX13" i="19" s="1"/>
  <c r="AX14" i="19" s="1"/>
  <c r="AX15" i="19" s="1"/>
  <c r="AX16" i="19" s="1"/>
  <c r="AX17" i="19" s="1"/>
  <c r="AX18" i="19" s="1"/>
  <c r="AX19" i="19" s="1"/>
  <c r="AX20" i="19" s="1"/>
  <c r="AX21" i="19" s="1"/>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V32" i="19"/>
  <c r="V33" i="19" s="1"/>
  <c r="V34" i="19" s="1"/>
  <c r="V35" i="19" s="1"/>
  <c r="V36" i="19" s="1"/>
  <c r="V37" i="19" s="1"/>
  <c r="V38" i="19" s="1"/>
  <c r="V39" i="19" s="1"/>
  <c r="V40" i="19" s="1"/>
  <c r="V41" i="19" s="1"/>
  <c r="V42" i="19" s="1"/>
  <c r="V43" i="19" s="1"/>
  <c r="V44" i="19" s="1"/>
  <c r="V45" i="19" s="1"/>
  <c r="U32" i="19"/>
  <c r="U33" i="19" s="1"/>
  <c r="U34" i="19" s="1"/>
  <c r="U35" i="19" s="1"/>
  <c r="U36" i="19" s="1"/>
  <c r="U37" i="19" s="1"/>
  <c r="U38" i="19" s="1"/>
  <c r="U39" i="19" s="1"/>
  <c r="U40" i="19" s="1"/>
  <c r="U41" i="19" s="1"/>
  <c r="U42" i="19" s="1"/>
  <c r="U43" i="19" s="1"/>
  <c r="U44" i="19" s="1"/>
  <c r="U45" i="19" s="1"/>
  <c r="BH45" i="19" s="1" a="1"/>
  <c r="BH45" i="19" s="1"/>
  <c r="T32" i="19"/>
  <c r="T33" i="19" s="1"/>
  <c r="T34" i="19" s="1"/>
  <c r="T35" i="19" s="1"/>
  <c r="T36" i="19" s="1"/>
  <c r="T37" i="19" s="1"/>
  <c r="T38" i="19" s="1"/>
  <c r="T39" i="19" s="1"/>
  <c r="T40" i="19" s="1"/>
  <c r="T41" i="19" s="1"/>
  <c r="T42" i="19" s="1"/>
  <c r="T43" i="19" s="1"/>
  <c r="T44" i="19" s="1"/>
  <c r="T45" i="19" s="1"/>
  <c r="AZ45" i="19" s="1" a="1"/>
  <c r="AZ45" i="19" s="1"/>
  <c r="S32" i="19"/>
  <c r="S33" i="19" s="1"/>
  <c r="S34" i="19" s="1"/>
  <c r="S35" i="19" s="1"/>
  <c r="S36" i="19" s="1"/>
  <c r="S37" i="19" s="1"/>
  <c r="S38" i="19" s="1"/>
  <c r="S39" i="19" s="1"/>
  <c r="S40" i="19" s="1"/>
  <c r="S41" i="19" s="1"/>
  <c r="S42" i="19" s="1"/>
  <c r="S43" i="19" s="1"/>
  <c r="S44" i="19" s="1"/>
  <c r="S45" i="19" s="1"/>
  <c r="T30" i="19"/>
  <c r="T31" i="19" s="1"/>
  <c r="AZ31" i="19" s="1" a="1"/>
  <c r="AZ31" i="19" s="1"/>
  <c r="U30" i="19"/>
  <c r="U31" i="19" s="1"/>
  <c r="BH31" i="19" s="1" a="1"/>
  <c r="BH31" i="19" s="1"/>
  <c r="S30" i="19"/>
  <c r="S31" i="19" s="1"/>
  <c r="V30" i="19"/>
  <c r="V31" i="19" s="1"/>
  <c r="F45" i="25"/>
  <c r="F29" i="25"/>
  <c r="F43" i="25" s="1"/>
  <c r="F28" i="25"/>
  <c r="F42" i="25" s="1"/>
  <c r="F27" i="25"/>
  <c r="F41" i="25" s="1"/>
  <c r="K10" i="25"/>
  <c r="K16" i="25"/>
  <c r="L10" i="25"/>
  <c r="K13" i="25"/>
  <c r="M10" i="25"/>
  <c r="L13" i="25"/>
  <c r="L16" i="25"/>
  <c r="M13" i="25"/>
  <c r="M16" i="25"/>
  <c r="M11" i="25"/>
  <c r="M14" i="25"/>
  <c r="F30" i="25"/>
  <c r="F44" i="25" s="1"/>
  <c r="K9" i="25"/>
  <c r="L9" i="25"/>
  <c r="K12" i="25"/>
  <c r="W11" i="19"/>
  <c r="BP45" i="19" l="1" a="1"/>
  <c r="BP45" i="19" s="1"/>
  <c r="BP30" i="19" a="1"/>
  <c r="BP30" i="19" s="1"/>
  <c r="AZ34" i="19" a="1"/>
  <c r="AZ34" i="19" s="1"/>
  <c r="AZ36" i="19" a="1"/>
  <c r="AZ36" i="19" s="1"/>
  <c r="BP31" i="19" a="1"/>
  <c r="BP31" i="19" s="1"/>
  <c r="AZ33" i="19" a="1"/>
  <c r="AZ33" i="19" s="1"/>
  <c r="BP10" i="19" a="1"/>
  <c r="BP10" i="19" s="1"/>
  <c r="H23" i="17"/>
  <c r="CG23" i="17" s="1" a="1"/>
  <c r="CG23" i="17" s="1"/>
  <c r="BY22" i="17" a="1"/>
  <c r="BY22" i="17" s="1"/>
  <c r="AZ35" i="19" a="1"/>
  <c r="AZ35" i="19" s="1"/>
  <c r="AZ43" i="19" a="1"/>
  <c r="AZ43" i="19" s="1"/>
  <c r="BH44" i="19" a="1"/>
  <c r="BH44" i="19" s="1"/>
  <c r="BH38" i="19" a="1"/>
  <c r="BH38" i="19" s="1"/>
  <c r="AZ30" i="19" a="1"/>
  <c r="AZ30" i="19" s="1"/>
  <c r="AZ32" i="19" a="1"/>
  <c r="AZ32" i="19" s="1"/>
  <c r="AZ38" i="19" a="1"/>
  <c r="AZ38" i="19" s="1"/>
  <c r="BH42" i="19" a="1"/>
  <c r="BH42" i="19" s="1"/>
  <c r="AZ40" i="19" a="1"/>
  <c r="AZ40" i="19" s="1"/>
  <c r="BH40" i="19" a="1"/>
  <c r="BH40" i="19" s="1"/>
  <c r="BP43" i="19" a="1"/>
  <c r="BP43" i="19" s="1"/>
  <c r="BP32" i="19" a="1"/>
  <c r="BP32" i="19" s="1"/>
  <c r="BP34" i="19" a="1"/>
  <c r="BP34" i="19" s="1"/>
  <c r="BP41" i="19" a="1"/>
  <c r="BP41" i="19" s="1"/>
  <c r="BP36" i="19" a="1"/>
  <c r="BP36" i="19" s="1"/>
  <c r="BP38" i="19" a="1"/>
  <c r="BP38" i="19" s="1"/>
  <c r="BH33" i="19" a="1"/>
  <c r="BH33" i="19" s="1"/>
  <c r="BP40" i="19" a="1"/>
  <c r="BP40" i="19" s="1"/>
  <c r="BH32" i="19" a="1"/>
  <c r="BH32" i="19" s="1"/>
  <c r="BH35" i="19" a="1"/>
  <c r="BH35" i="19" s="1"/>
  <c r="BP42" i="19" a="1"/>
  <c r="BP42" i="19" s="1"/>
  <c r="BH30" i="19" a="1"/>
  <c r="BH30" i="19" s="1"/>
  <c r="BH37" i="19" a="1"/>
  <c r="BH37" i="19" s="1"/>
  <c r="BP44" i="19" a="1"/>
  <c r="BP44" i="19" s="1"/>
  <c r="BP33" i="19" a="1"/>
  <c r="BP33" i="19" s="1"/>
  <c r="AZ42" i="19" a="1"/>
  <c r="AZ42" i="19" s="1"/>
  <c r="AZ37" i="19" a="1"/>
  <c r="AZ37" i="19" s="1"/>
  <c r="BH39" i="19" a="1"/>
  <c r="BH39" i="19" s="1"/>
  <c r="BP35" i="19" a="1"/>
  <c r="BP35" i="19" s="1"/>
  <c r="AZ44" i="19" a="1"/>
  <c r="AZ44" i="19" s="1"/>
  <c r="AZ39" i="19" a="1"/>
  <c r="AZ39" i="19" s="1"/>
  <c r="BH34" i="19" a="1"/>
  <c r="BH34" i="19" s="1"/>
  <c r="BH41" i="19" a="1"/>
  <c r="BH41" i="19" s="1"/>
  <c r="BP37" i="19" a="1"/>
  <c r="BP37" i="19" s="1"/>
  <c r="AZ41" i="19" a="1"/>
  <c r="AZ41" i="19" s="1"/>
  <c r="BH36" i="19" a="1"/>
  <c r="BH36" i="19" s="1"/>
  <c r="BH43" i="19" a="1"/>
  <c r="BH43" i="19" s="1"/>
  <c r="BP39" i="19" a="1"/>
  <c r="BP39" i="19" s="1"/>
  <c r="W19" i="19"/>
  <c r="W21" i="19" s="1"/>
  <c r="W22" i="19" s="1"/>
  <c r="W23" i="19" s="1"/>
  <c r="W53" i="24"/>
  <c r="V53" i="24"/>
  <c r="U53" i="24"/>
  <c r="T53" i="24"/>
  <c r="S53" i="24"/>
  <c r="W52" i="24"/>
  <c r="V52" i="24"/>
  <c r="U52" i="24"/>
  <c r="T52" i="24"/>
  <c r="S52" i="24"/>
  <c r="W51" i="24"/>
  <c r="V51" i="24"/>
  <c r="U51" i="24"/>
  <c r="T51" i="24"/>
  <c r="S51" i="24"/>
  <c r="W50" i="24"/>
  <c r="V50" i="24"/>
  <c r="U50" i="24"/>
  <c r="T50" i="24"/>
  <c r="S50" i="24"/>
  <c r="W49" i="24"/>
  <c r="V49" i="24"/>
  <c r="U49" i="24"/>
  <c r="T49" i="24"/>
  <c r="S49" i="24"/>
  <c r="W48" i="24"/>
  <c r="V48" i="24"/>
  <c r="U48" i="24"/>
  <c r="T48" i="24"/>
  <c r="S48" i="24"/>
  <c r="AD16" i="24"/>
  <c r="AD15" i="24"/>
  <c r="AD11" i="24"/>
  <c r="P24" i="23"/>
  <c r="E22" i="23"/>
  <c r="R17" i="23"/>
  <c r="G16" i="23"/>
  <c r="R15" i="23"/>
  <c r="R13" i="23"/>
  <c r="R12" i="23"/>
  <c r="G12" i="23"/>
  <c r="R11" i="23"/>
  <c r="G11" i="23"/>
  <c r="R10" i="23"/>
  <c r="P23" i="23" s="1"/>
  <c r="G10" i="23"/>
  <c r="G9" i="23"/>
  <c r="E23" i="23" s="1"/>
  <c r="R12" i="19" a="1"/>
  <c r="R12" i="19" s="1"/>
  <c r="H24" i="22"/>
  <c r="H25" i="22"/>
  <c r="H26" i="22"/>
  <c r="H27" i="22"/>
  <c r="H23" i="22"/>
  <c r="H24" i="17" l="1"/>
  <c r="BY23" i="17" a="1"/>
  <c r="BY23" i="17" s="1"/>
  <c r="X50" i="24"/>
  <c r="X53" i="24"/>
  <c r="X51" i="24"/>
  <c r="X49" i="24"/>
  <c r="X52" i="24"/>
  <c r="X48" i="24"/>
  <c r="E24" i="23"/>
  <c r="R17" i="19" s="1" a="1"/>
  <c r="E25" i="23"/>
  <c r="P25" i="23"/>
  <c r="E26" i="23"/>
  <c r="P26" i="23"/>
  <c r="P22" i="23"/>
  <c r="R6" i="19" s="1" a="1"/>
  <c r="U12" i="19"/>
  <c r="BH12" i="19" s="1" a="1"/>
  <c r="BH12" i="19" s="1"/>
  <c r="T12" i="19"/>
  <c r="AZ12" i="19" s="1" a="1"/>
  <c r="AZ12" i="19" s="1"/>
  <c r="V12" i="19"/>
  <c r="BP12" i="19" s="1" a="1"/>
  <c r="BP12" i="19" s="1"/>
  <c r="S12" i="19"/>
  <c r="BY24" i="17" l="1" a="1"/>
  <c r="BY24" i="17" s="1"/>
  <c r="CG24" i="17" a="1"/>
  <c r="CG24" i="17" s="1"/>
  <c r="R17" i="19"/>
  <c r="U17" i="19"/>
  <c r="V17" i="19"/>
  <c r="T17" i="19"/>
  <c r="AZ17" i="19" s="1" a="1"/>
  <c r="AZ17" i="19" s="1"/>
  <c r="S17" i="19"/>
  <c r="S19" i="19" s="1"/>
  <c r="R6" i="19"/>
  <c r="R7" i="19" s="1"/>
  <c r="R8" i="19" s="1"/>
  <c r="T6" i="19"/>
  <c r="S6" i="19"/>
  <c r="S7" i="19" s="1"/>
  <c r="S8" i="19" s="1"/>
  <c r="V6" i="19"/>
  <c r="U6" i="19"/>
  <c r="T19" i="19"/>
  <c r="AZ19" i="19" s="1" a="1"/>
  <c r="AZ19" i="19" s="1"/>
  <c r="T18" i="19"/>
  <c r="AZ18" i="19" s="1" a="1"/>
  <c r="AZ18" i="19" s="1"/>
  <c r="U7" i="19" l="1"/>
  <c r="BH6" i="19" a="1"/>
  <c r="BH6" i="19" s="1"/>
  <c r="V7" i="19"/>
  <c r="BP6" i="19" a="1"/>
  <c r="BP6" i="19" s="1"/>
  <c r="T7" i="19"/>
  <c r="AZ6" i="19" a="1"/>
  <c r="AZ6" i="19" s="1"/>
  <c r="V19" i="19"/>
  <c r="BP19" i="19" s="1" a="1"/>
  <c r="BP19" i="19" s="1"/>
  <c r="BP17" i="19" a="1"/>
  <c r="BP17" i="19" s="1"/>
  <c r="U19" i="19"/>
  <c r="BH19" i="19" s="1" a="1"/>
  <c r="BH19" i="19" s="1"/>
  <c r="BH17" i="19" a="1"/>
  <c r="BH17" i="19" s="1"/>
  <c r="S18" i="19"/>
  <c r="S11" i="19"/>
  <c r="S9" i="19"/>
  <c r="R11" i="19"/>
  <c r="R9" i="19"/>
  <c r="V18" i="19"/>
  <c r="BP18" i="19" s="1" a="1"/>
  <c r="BP18" i="19" s="1"/>
  <c r="U18" i="19"/>
  <c r="BH18" i="19" s="1" a="1"/>
  <c r="BH18" i="19" s="1"/>
  <c r="R19" i="19"/>
  <c r="R18" i="19"/>
  <c r="S21" i="19"/>
  <c r="S22" i="19" s="1"/>
  <c r="S23" i="19" s="1"/>
  <c r="S20" i="19"/>
  <c r="T21" i="19"/>
  <c r="T20" i="19"/>
  <c r="AZ20" i="19" s="1" a="1"/>
  <c r="AZ20" i="19" s="1"/>
  <c r="V21" i="19" l="1"/>
  <c r="V8" i="19"/>
  <c r="BP7" i="19" a="1"/>
  <c r="BP7" i="19" s="1"/>
  <c r="T22" i="19"/>
  <c r="AZ21" i="19" a="1"/>
  <c r="AZ21" i="19" s="1"/>
  <c r="U21" i="19"/>
  <c r="V20" i="19"/>
  <c r="BP20" i="19" s="1" a="1"/>
  <c r="BP20" i="19" s="1"/>
  <c r="T8" i="19"/>
  <c r="AZ7" i="19" a="1"/>
  <c r="AZ7" i="19" s="1"/>
  <c r="U20" i="19"/>
  <c r="BH20" i="19" s="1" a="1"/>
  <c r="BH20" i="19" s="1"/>
  <c r="U8" i="19"/>
  <c r="BH7" i="19" a="1"/>
  <c r="BH7" i="19" s="1"/>
  <c r="R20" i="19"/>
  <c r="R21" i="19"/>
  <c r="R22" i="19" s="1"/>
  <c r="R23" i="19" s="1"/>
  <c r="AP6" i="19"/>
  <c r="AP7" i="19" s="1"/>
  <c r="AP8" i="19" s="1"/>
  <c r="AP9" i="19" s="1"/>
  <c r="AP10" i="19" s="1"/>
  <c r="AP11" i="19" s="1"/>
  <c r="AP12" i="19" s="1"/>
  <c r="AP13" i="19" s="1"/>
  <c r="AP14" i="19" s="1"/>
  <c r="AP15" i="19" s="1"/>
  <c r="AP16" i="19" s="1"/>
  <c r="AP17" i="19" s="1"/>
  <c r="AP18" i="19" s="1"/>
  <c r="AP19" i="19" s="1"/>
  <c r="AP20" i="19" s="1"/>
  <c r="AP21" i="19" s="1"/>
  <c r="AP22" i="19" s="1"/>
  <c r="AP23" i="19" s="1"/>
  <c r="AP24" i="19" s="1"/>
  <c r="AP25" i="19" s="1"/>
  <c r="AP26" i="19" s="1"/>
  <c r="AP27" i="19" s="1"/>
  <c r="AP28" i="19" s="1"/>
  <c r="AP29" i="19" s="1"/>
  <c r="AP30" i="19" s="1"/>
  <c r="AP31" i="19" s="1"/>
  <c r="AP32" i="19" s="1"/>
  <c r="AP33" i="19" s="1"/>
  <c r="AP34" i="19" s="1"/>
  <c r="AP35" i="19" s="1"/>
  <c r="AP36" i="19" s="1"/>
  <c r="AP37" i="19" s="1"/>
  <c r="AP38" i="19" s="1"/>
  <c r="AP39" i="19" s="1"/>
  <c r="AP40" i="19" s="1"/>
  <c r="AP41" i="19" s="1"/>
  <c r="AP42" i="19" s="1"/>
  <c r="AP43" i="19" s="1"/>
  <c r="AP44" i="19" s="1"/>
  <c r="AP45" i="19" s="1"/>
  <c r="AT23" i="19"/>
  <c r="AT22" i="19"/>
  <c r="AT21" i="19"/>
  <c r="AT20" i="19"/>
  <c r="AT19" i="19"/>
  <c r="AT18" i="19"/>
  <c r="AT17" i="19"/>
  <c r="AT12" i="19"/>
  <c r="AT11" i="19"/>
  <c r="AT10" i="19"/>
  <c r="AT9" i="19"/>
  <c r="AT8" i="19"/>
  <c r="AT7" i="19"/>
  <c r="AT6" i="19"/>
  <c r="AL7" i="19"/>
  <c r="AL8" i="19"/>
  <c r="AL9" i="19"/>
  <c r="AL10" i="19"/>
  <c r="AL11" i="19"/>
  <c r="AL12" i="19"/>
  <c r="AL17" i="19"/>
  <c r="AL18" i="19"/>
  <c r="AL19" i="19"/>
  <c r="AL20" i="19"/>
  <c r="AL21" i="19"/>
  <c r="AL22" i="19"/>
  <c r="AL23" i="19"/>
  <c r="AL6" i="19"/>
  <c r="AS23" i="19"/>
  <c r="AS22" i="19"/>
  <c r="AS21" i="19"/>
  <c r="AS20" i="19"/>
  <c r="AS19" i="19"/>
  <c r="AS18" i="19"/>
  <c r="AS17" i="19"/>
  <c r="AS12" i="19"/>
  <c r="AS11" i="19"/>
  <c r="AS10" i="19"/>
  <c r="AS9" i="19"/>
  <c r="AS8" i="19"/>
  <c r="AS7" i="19"/>
  <c r="AS6" i="19"/>
  <c r="AK7" i="19"/>
  <c r="AK8" i="19"/>
  <c r="AK9" i="19"/>
  <c r="AK10" i="19"/>
  <c r="AK11" i="19"/>
  <c r="AK12" i="19"/>
  <c r="AK17" i="19"/>
  <c r="AK18" i="19"/>
  <c r="AK19" i="19"/>
  <c r="AK20" i="19"/>
  <c r="AK21" i="19"/>
  <c r="AK22" i="19"/>
  <c r="AK23" i="19"/>
  <c r="AK6" i="19"/>
  <c r="AH6" i="19"/>
  <c r="AJ3" i="19" s="1"/>
  <c r="AZ8" i="19" l="1" a="1"/>
  <c r="AZ8" i="19" s="1"/>
  <c r="T9" i="19"/>
  <c r="AZ9" i="19" s="1" a="1"/>
  <c r="AZ9" i="19" s="1"/>
  <c r="T11" i="19"/>
  <c r="AZ11" i="19" s="1" a="1"/>
  <c r="AZ11" i="19" s="1"/>
  <c r="AJ30" i="19" a="1"/>
  <c r="AJ30" i="19" s="1"/>
  <c r="AJ37" i="19" a="1"/>
  <c r="AJ37" i="19" s="1"/>
  <c r="AJ40" i="19" a="1"/>
  <c r="AJ40" i="19" s="1"/>
  <c r="AJ44" i="19" a="1"/>
  <c r="AJ44" i="19" s="1"/>
  <c r="AJ34" i="19" a="1"/>
  <c r="AJ34" i="19" s="1"/>
  <c r="AJ41" i="19" a="1"/>
  <c r="AJ41" i="19" s="1"/>
  <c r="AJ45" i="19" a="1"/>
  <c r="AJ45" i="19" s="1"/>
  <c r="AJ31" i="19" a="1"/>
  <c r="AJ31" i="19" s="1"/>
  <c r="AJ32" i="19" a="1"/>
  <c r="AJ32" i="19" s="1"/>
  <c r="AJ33" i="19" a="1"/>
  <c r="AJ33" i="19" s="1"/>
  <c r="AJ39" i="19" a="1"/>
  <c r="AJ39" i="19" s="1"/>
  <c r="AJ38" i="19" a="1"/>
  <c r="AJ38" i="19" s="1"/>
  <c r="AJ35" i="19" a="1"/>
  <c r="AJ35" i="19" s="1"/>
  <c r="AJ42" i="19" a="1"/>
  <c r="AJ42" i="19" s="1"/>
  <c r="AJ43" i="19" a="1"/>
  <c r="AJ43" i="19" s="1"/>
  <c r="AJ36" i="19" a="1"/>
  <c r="AJ36" i="19" s="1"/>
  <c r="U22" i="19"/>
  <c r="BH21" i="19" a="1"/>
  <c r="BH21" i="19" s="1"/>
  <c r="BH8" i="19" a="1"/>
  <c r="BH8" i="19" s="1"/>
  <c r="U11" i="19"/>
  <c r="BH11" i="19" s="1" a="1"/>
  <c r="BH11" i="19" s="1"/>
  <c r="U9" i="19"/>
  <c r="T23" i="19"/>
  <c r="AZ23" i="19" s="1" a="1"/>
  <c r="AZ23" i="19" s="1"/>
  <c r="AZ22" i="19" a="1"/>
  <c r="AZ22" i="19" s="1"/>
  <c r="BP8" i="19" a="1"/>
  <c r="BP8" i="19" s="1"/>
  <c r="V9" i="19"/>
  <c r="BP9" i="19" s="1" a="1"/>
  <c r="BP9" i="19" s="1"/>
  <c r="V11" i="19"/>
  <c r="BP11" i="19" s="1" a="1"/>
  <c r="BP11" i="19" s="1"/>
  <c r="V22" i="19"/>
  <c r="BP21" i="19" a="1"/>
  <c r="BP21" i="19" s="1"/>
  <c r="AJ18" i="19" a="1"/>
  <c r="AJ18" i="19" s="1"/>
  <c r="AJ11" i="19" a="1"/>
  <c r="AJ11" i="19" s="1"/>
  <c r="AJ17" i="19" a="1"/>
  <c r="AJ17" i="19" s="1"/>
  <c r="AJ19" i="19" a="1"/>
  <c r="AJ19" i="19" s="1"/>
  <c r="AJ7" i="19" a="1"/>
  <c r="AJ7" i="19" s="1"/>
  <c r="AJ20" i="19" a="1"/>
  <c r="AJ20" i="19" s="1"/>
  <c r="AJ23" i="19" a="1"/>
  <c r="AJ23" i="19" s="1"/>
  <c r="AJ8" i="19" a="1"/>
  <c r="AJ8" i="19" s="1"/>
  <c r="AJ21" i="19" a="1"/>
  <c r="AJ21" i="19" s="1"/>
  <c r="AJ9" i="19" a="1"/>
  <c r="AJ9" i="19" s="1"/>
  <c r="AJ22" i="19" a="1"/>
  <c r="AJ22" i="19" s="1"/>
  <c r="AJ10" i="19" a="1"/>
  <c r="AJ10" i="19" s="1"/>
  <c r="AJ6" i="19" a="1"/>
  <c r="AJ6" i="19" s="1"/>
  <c r="AJ12" i="19" a="1"/>
  <c r="AJ12" i="19" s="1"/>
  <c r="AH7" i="19"/>
  <c r="AH8" i="19" s="1"/>
  <c r="AH9" i="19" s="1"/>
  <c r="AH10" i="19" s="1"/>
  <c r="AH11" i="19" s="1"/>
  <c r="AH12" i="19" s="1"/>
  <c r="AH13" i="19" s="1"/>
  <c r="AH14" i="19" s="1"/>
  <c r="AH15" i="19" s="1"/>
  <c r="AH16" i="19" s="1"/>
  <c r="AH17" i="19" s="1"/>
  <c r="AH18" i="19" s="1"/>
  <c r="AH19" i="19" s="1"/>
  <c r="AH20" i="19" s="1"/>
  <c r="AH21" i="19" s="1"/>
  <c r="AH22" i="19" s="1"/>
  <c r="AH23" i="19" s="1"/>
  <c r="AH24" i="19" s="1"/>
  <c r="AH25" i="19" s="1"/>
  <c r="AH26" i="19" s="1"/>
  <c r="AH27" i="19" s="1"/>
  <c r="AH28" i="19" s="1"/>
  <c r="AH29" i="19" s="1"/>
  <c r="AH30" i="19" s="1"/>
  <c r="AH31" i="19" s="1"/>
  <c r="AH32" i="19" s="1"/>
  <c r="AH33" i="19" s="1"/>
  <c r="AH34" i="19" s="1"/>
  <c r="AH35" i="19" s="1"/>
  <c r="AH36" i="19" s="1"/>
  <c r="AH37" i="19" s="1"/>
  <c r="AH38" i="19" s="1"/>
  <c r="AH39" i="19" s="1"/>
  <c r="AH40" i="19" s="1"/>
  <c r="AH41" i="19" s="1"/>
  <c r="AH42" i="19" s="1"/>
  <c r="AH43" i="19" s="1"/>
  <c r="AH44" i="19" s="1"/>
  <c r="AH45" i="19" s="1"/>
  <c r="AR3" i="19"/>
  <c r="U23" i="19" l="1"/>
  <c r="BH23" i="19" s="1" a="1"/>
  <c r="BH23" i="19" s="1"/>
  <c r="BH22" i="19" a="1"/>
  <c r="BH22" i="19" s="1"/>
  <c r="V23" i="19"/>
  <c r="BP23" i="19" s="1" a="1"/>
  <c r="BP23" i="19" s="1"/>
  <c r="BP22" i="19" a="1"/>
  <c r="BP22" i="19" s="1"/>
  <c r="AR32" i="19" a="1"/>
  <c r="AR32" i="19" s="1"/>
  <c r="AR35" i="19" a="1"/>
  <c r="AR35" i="19" s="1"/>
  <c r="AR38" i="19" a="1"/>
  <c r="AR38" i="19" s="1"/>
  <c r="AR41" i="19" a="1"/>
  <c r="AR41" i="19" s="1"/>
  <c r="AR44" i="19" a="1"/>
  <c r="AR44" i="19" s="1"/>
  <c r="AR30" i="19" a="1"/>
  <c r="AR30" i="19" s="1"/>
  <c r="AR33" i="19" a="1"/>
  <c r="AR33" i="19" s="1"/>
  <c r="AR36" i="19" a="1"/>
  <c r="AR36" i="19" s="1"/>
  <c r="AR39" i="19" a="1"/>
  <c r="AR39" i="19" s="1"/>
  <c r="AR42" i="19" a="1"/>
  <c r="AR42" i="19" s="1"/>
  <c r="AR45" i="19" a="1"/>
  <c r="AR45" i="19" s="1"/>
  <c r="AR31" i="19" a="1"/>
  <c r="AR31" i="19" s="1"/>
  <c r="AR34" i="19" a="1"/>
  <c r="AR34" i="19" s="1"/>
  <c r="AR37" i="19" a="1"/>
  <c r="AR37" i="19" s="1"/>
  <c r="AR40" i="19" a="1"/>
  <c r="AR40" i="19" s="1"/>
  <c r="AR43" i="19" a="1"/>
  <c r="AR43" i="19" s="1"/>
  <c r="U10" i="19"/>
  <c r="BH10" i="19" s="1" a="1"/>
  <c r="BH10" i="19" s="1"/>
  <c r="BH9" i="19" a="1"/>
  <c r="BH9" i="19" s="1"/>
  <c r="AR20" i="19" a="1"/>
  <c r="AR20" i="19" s="1"/>
  <c r="AR8" i="19" a="1"/>
  <c r="AR8" i="19" s="1"/>
  <c r="AR23" i="19" a="1"/>
  <c r="AR23" i="19" s="1"/>
  <c r="AR21" i="19" a="1"/>
  <c r="AR21" i="19" s="1"/>
  <c r="AR19" i="19" a="1"/>
  <c r="AR19" i="19" s="1"/>
  <c r="AR17" i="19" a="1"/>
  <c r="AR17" i="19" s="1"/>
  <c r="AR11" i="19" a="1"/>
  <c r="AR11" i="19" s="1"/>
  <c r="AR9" i="19" a="1"/>
  <c r="AR9" i="19" s="1"/>
  <c r="AR7" i="19" a="1"/>
  <c r="AR7" i="19" s="1"/>
  <c r="AR18" i="19" a="1"/>
  <c r="AR18" i="19" s="1"/>
  <c r="AR12" i="19" a="1"/>
  <c r="AR12" i="19" s="1"/>
  <c r="AR6" i="19" a="1"/>
  <c r="AR6" i="19" s="1"/>
  <c r="AR22" i="19" a="1"/>
  <c r="AR22" i="19" s="1"/>
  <c r="AR10" i="19" a="1"/>
  <c r="AR10" i="19" s="1"/>
  <c r="M7" i="19" l="1"/>
  <c r="M8" i="19"/>
  <c r="M9" i="19"/>
  <c r="M10" i="19"/>
  <c r="M11" i="19"/>
  <c r="M12" i="19"/>
  <c r="M13" i="19"/>
  <c r="M14" i="19"/>
  <c r="M15" i="19"/>
  <c r="M16" i="19"/>
  <c r="M17" i="19"/>
  <c r="M18" i="19"/>
  <c r="M19" i="19"/>
  <c r="M20" i="19"/>
  <c r="M21" i="19"/>
  <c r="M22" i="19"/>
  <c r="M23" i="19"/>
  <c r="M24" i="19"/>
  <c r="M25" i="19"/>
  <c r="M26" i="19"/>
  <c r="M27" i="19"/>
  <c r="M28" i="19"/>
  <c r="M29" i="19"/>
  <c r="M6" i="19"/>
  <c r="H7" i="19"/>
  <c r="H8" i="19"/>
  <c r="H9" i="19"/>
  <c r="H10" i="19"/>
  <c r="H11" i="19"/>
  <c r="H12" i="19"/>
  <c r="H13" i="19"/>
  <c r="H14" i="19"/>
  <c r="H15" i="19"/>
  <c r="H16" i="19"/>
  <c r="H17" i="19"/>
  <c r="H18" i="19"/>
  <c r="H19" i="19"/>
  <c r="H20" i="19"/>
  <c r="H21" i="19"/>
  <c r="H22" i="19"/>
  <c r="H23" i="19"/>
  <c r="H24" i="19"/>
  <c r="H25" i="19"/>
  <c r="H26" i="19"/>
  <c r="H27" i="19"/>
  <c r="H28" i="19"/>
  <c r="H29" i="19"/>
  <c r="H6" i="19"/>
  <c r="S79" i="19"/>
  <c r="S80" i="19"/>
  <c r="S81" i="19" s="1"/>
  <c r="S82" i="19" s="1"/>
  <c r="S83" i="19" s="1"/>
  <c r="S84" i="19" s="1"/>
  <c r="S100" i="19"/>
  <c r="S101" i="19" s="1"/>
  <c r="U101" i="19" s="1"/>
  <c r="T100" i="19"/>
  <c r="Y100" i="19"/>
  <c r="Y101" i="19" s="1"/>
  <c r="Z100" i="19"/>
  <c r="AA100" i="19"/>
  <c r="AD100" i="19"/>
  <c r="AD101" i="19" s="1"/>
  <c r="AD102" i="19" s="1"/>
  <c r="AD103" i="19" s="1"/>
  <c r="AD104" i="19" s="1"/>
  <c r="T101" i="19"/>
  <c r="Z101" i="19"/>
  <c r="T102" i="19"/>
  <c r="Z102" i="19"/>
  <c r="T103" i="19"/>
  <c r="Z103" i="19"/>
  <c r="T104" i="19"/>
  <c r="Z104" i="19"/>
  <c r="T105" i="19"/>
  <c r="Z105" i="19"/>
  <c r="T106" i="19"/>
  <c r="Z106" i="19"/>
  <c r="T107" i="19"/>
  <c r="Z107" i="19"/>
  <c r="T108" i="19"/>
  <c r="T109" i="19"/>
  <c r="R69" i="19" a="1"/>
  <c r="R69" i="19" s="1"/>
  <c r="R24" i="19" s="1"/>
  <c r="AJ24" i="19" s="1" a="1"/>
  <c r="AJ24" i="19" s="1"/>
  <c r="AK24" i="19" s="1"/>
  <c r="AL24" i="19" s="1"/>
  <c r="Q69" i="19"/>
  <c r="R64" i="19" a="1"/>
  <c r="R64" i="19" s="1"/>
  <c r="R65" i="19" s="1"/>
  <c r="R59" i="19" a="1"/>
  <c r="R59" i="19" s="1"/>
  <c r="B6" i="21"/>
  <c r="H6" i="21"/>
  <c r="J6" i="21"/>
  <c r="B7" i="21"/>
  <c r="H7" i="21"/>
  <c r="J7" i="21"/>
  <c r="B8" i="21"/>
  <c r="H8" i="21"/>
  <c r="J8" i="21"/>
  <c r="M8" i="21"/>
  <c r="N8" i="21"/>
  <c r="O8" i="21"/>
  <c r="P8" i="21"/>
  <c r="B9" i="21"/>
  <c r="J9" i="21"/>
  <c r="P9" i="21"/>
  <c r="I10" i="21"/>
  <c r="J10" i="21"/>
  <c r="L10" i="21"/>
  <c r="P10" i="21"/>
  <c r="B15" i="21"/>
  <c r="C19" i="21"/>
  <c r="S167" i="21" s="1"/>
  <c r="C20" i="21"/>
  <c r="C21" i="21"/>
  <c r="D21" i="21"/>
  <c r="C22" i="21"/>
  <c r="C23" i="21"/>
  <c r="C26" i="21"/>
  <c r="D26" i="21"/>
  <c r="E26" i="21"/>
  <c r="C27" i="21"/>
  <c r="D27" i="21"/>
  <c r="E27" i="21"/>
  <c r="C31" i="21"/>
  <c r="D31" i="21"/>
  <c r="E31" i="21"/>
  <c r="C32" i="21"/>
  <c r="D32" i="21"/>
  <c r="E32" i="21"/>
  <c r="C33" i="21"/>
  <c r="D33" i="21"/>
  <c r="E33" i="21"/>
  <c r="K182" i="21" s="1"/>
  <c r="K255" i="21" s="1"/>
  <c r="C36" i="21"/>
  <c r="D36" i="21"/>
  <c r="E36" i="21"/>
  <c r="C37" i="21"/>
  <c r="D37" i="21"/>
  <c r="E37" i="21"/>
  <c r="C38" i="21"/>
  <c r="D38" i="21"/>
  <c r="E38" i="21"/>
  <c r="K169" i="21" s="1"/>
  <c r="K251" i="21" s="1"/>
  <c r="M45" i="21"/>
  <c r="M46" i="21"/>
  <c r="K47" i="21"/>
  <c r="M47" i="21"/>
  <c r="M51" i="21" s="1"/>
  <c r="P50" i="21"/>
  <c r="Q44" i="21" s="1"/>
  <c r="C82" i="21" s="1"/>
  <c r="J56" i="21"/>
  <c r="K53" i="21" s="1"/>
  <c r="D60" i="21"/>
  <c r="D61" i="21"/>
  <c r="D62" i="21"/>
  <c r="D63" i="21"/>
  <c r="D64" i="21"/>
  <c r="D65" i="21"/>
  <c r="D66" i="21"/>
  <c r="D67" i="21"/>
  <c r="C68" i="21"/>
  <c r="E62" i="21" s="1"/>
  <c r="C99" i="21" s="1"/>
  <c r="D69" i="21"/>
  <c r="X130" i="21" s="1"/>
  <c r="R136" i="21" s="1"/>
  <c r="D70" i="21"/>
  <c r="X170" i="21" s="1"/>
  <c r="D71" i="21"/>
  <c r="D72" i="21"/>
  <c r="C11" i="21" s="1"/>
  <c r="D73" i="21"/>
  <c r="B82" i="21"/>
  <c r="K82" i="21"/>
  <c r="K224" i="21" s="1"/>
  <c r="AF82" i="21"/>
  <c r="B83" i="21"/>
  <c r="H83" i="21"/>
  <c r="H84" i="21" s="1"/>
  <c r="K83" i="21"/>
  <c r="K225" i="21" s="1"/>
  <c r="AB83" i="21"/>
  <c r="B84" i="21"/>
  <c r="B226" i="21" s="1"/>
  <c r="K84" i="21"/>
  <c r="K226" i="21" s="1"/>
  <c r="B85" i="21"/>
  <c r="H85" i="21"/>
  <c r="H227" i="21" s="1"/>
  <c r="M86" i="21"/>
  <c r="L86" i="21" s="1"/>
  <c r="M87" i="21"/>
  <c r="L87" i="21" s="1"/>
  <c r="R87" i="21"/>
  <c r="V87" i="21"/>
  <c r="Z87" i="21"/>
  <c r="M88" i="21"/>
  <c r="L88" i="21" s="1"/>
  <c r="AF88" i="21"/>
  <c r="M89" i="21"/>
  <c r="L89" i="21" s="1"/>
  <c r="I90" i="21"/>
  <c r="K90" i="21"/>
  <c r="M90" i="21"/>
  <c r="L90" i="21" s="1"/>
  <c r="P90" i="21"/>
  <c r="P91" i="21" s="1"/>
  <c r="P92" i="21" s="1"/>
  <c r="R90" i="21"/>
  <c r="AF90" i="21"/>
  <c r="R91" i="21"/>
  <c r="R92" i="21"/>
  <c r="D91" i="21" s="1"/>
  <c r="B97" i="21"/>
  <c r="B113" i="21" s="1"/>
  <c r="B238" i="21" s="1"/>
  <c r="S97" i="21"/>
  <c r="B98" i="21"/>
  <c r="B230" i="21" s="1"/>
  <c r="S98" i="21"/>
  <c r="W98" i="21"/>
  <c r="X98" i="21"/>
  <c r="AA98" i="21"/>
  <c r="AC98" i="21"/>
  <c r="B99" i="21"/>
  <c r="B231" i="21" s="1"/>
  <c r="B100" i="21"/>
  <c r="B116" i="21" s="1"/>
  <c r="B241" i="21" s="1"/>
  <c r="B101" i="21"/>
  <c r="B233" i="21" s="1"/>
  <c r="B102" i="21"/>
  <c r="B118" i="21" s="1"/>
  <c r="B243" i="21" s="1"/>
  <c r="R102" i="21"/>
  <c r="V102" i="21"/>
  <c r="Z102" i="21"/>
  <c r="AB102" i="21"/>
  <c r="B103" i="21"/>
  <c r="B235" i="21" s="1"/>
  <c r="H103" i="21"/>
  <c r="H235" i="21" s="1"/>
  <c r="B104" i="21"/>
  <c r="B236" i="21" s="1"/>
  <c r="H104" i="21"/>
  <c r="H236" i="21" s="1"/>
  <c r="P105" i="21"/>
  <c r="P106" i="21" s="1"/>
  <c r="P107" i="21" s="1"/>
  <c r="R105" i="21"/>
  <c r="R106" i="21"/>
  <c r="R107" i="21" s="1"/>
  <c r="D106" i="21" s="1"/>
  <c r="B114" i="21"/>
  <c r="B239" i="21" s="1"/>
  <c r="S114" i="21"/>
  <c r="W114" i="21"/>
  <c r="X114" i="21"/>
  <c r="AA114" i="21"/>
  <c r="AC114" i="21"/>
  <c r="B115" i="21"/>
  <c r="B240" i="21" s="1"/>
  <c r="B117" i="21"/>
  <c r="B242" i="21" s="1"/>
  <c r="R118" i="21"/>
  <c r="V118" i="21"/>
  <c r="Z118" i="21"/>
  <c r="AB118" i="21"/>
  <c r="H119" i="21"/>
  <c r="H120" i="21"/>
  <c r="P121" i="21"/>
  <c r="P122" i="21" s="1"/>
  <c r="P123" i="21" s="1"/>
  <c r="R121" i="21"/>
  <c r="R122" i="21"/>
  <c r="R123" i="21" s="1"/>
  <c r="D122" i="21" s="1"/>
  <c r="H127" i="21"/>
  <c r="K127" i="21"/>
  <c r="K247" i="21" s="1"/>
  <c r="AB127" i="21"/>
  <c r="K130" i="21"/>
  <c r="R130" i="21"/>
  <c r="R135" i="21" s="1"/>
  <c r="I9" i="21" s="1"/>
  <c r="K131" i="21"/>
  <c r="K132" i="21"/>
  <c r="K133" i="21"/>
  <c r="K134" i="21"/>
  <c r="K135" i="21"/>
  <c r="P135" i="21"/>
  <c r="P136" i="21" s="1"/>
  <c r="P137" i="21" s="1"/>
  <c r="C136" i="21"/>
  <c r="D159" i="21"/>
  <c r="E159" i="21"/>
  <c r="D160" i="21"/>
  <c r="E160" i="21"/>
  <c r="D161" i="21"/>
  <c r="E161" i="21"/>
  <c r="D162" i="21"/>
  <c r="F162" i="21" s="1"/>
  <c r="E162" i="21"/>
  <c r="AD167" i="21"/>
  <c r="H169" i="21"/>
  <c r="K170" i="21"/>
  <c r="K252" i="21" s="1"/>
  <c r="H171" i="21"/>
  <c r="H253" i="21" s="1"/>
  <c r="K172" i="21"/>
  <c r="R172" i="21"/>
  <c r="V172" i="21"/>
  <c r="K173" i="21"/>
  <c r="AD173" i="21"/>
  <c r="K174" i="21"/>
  <c r="AD174" i="21"/>
  <c r="K175" i="21"/>
  <c r="P175" i="21"/>
  <c r="P176" i="21" s="1"/>
  <c r="R175" i="21"/>
  <c r="AD175" i="21"/>
  <c r="C176" i="21"/>
  <c r="R176" i="21"/>
  <c r="R177" i="21" s="1"/>
  <c r="D176" i="21" s="1"/>
  <c r="D170" i="21" s="1"/>
  <c r="C182" i="21"/>
  <c r="H182" i="21"/>
  <c r="H255" i="21" s="1"/>
  <c r="C183" i="21"/>
  <c r="C256" i="21" s="1"/>
  <c r="K183" i="21"/>
  <c r="K256" i="21" s="1"/>
  <c r="C184" i="21"/>
  <c r="C257" i="21" s="1"/>
  <c r="H184" i="21"/>
  <c r="C185" i="21"/>
  <c r="C258" i="21" s="1"/>
  <c r="H185" i="21"/>
  <c r="H258" i="21" s="1"/>
  <c r="C186" i="21"/>
  <c r="H186" i="21"/>
  <c r="H259" i="21" s="1"/>
  <c r="C187" i="21"/>
  <c r="H187" i="21"/>
  <c r="H189" i="21" s="1"/>
  <c r="H262" i="21" s="1"/>
  <c r="R187" i="21"/>
  <c r="C188" i="21"/>
  <c r="H188" i="21"/>
  <c r="H261" i="21" s="1"/>
  <c r="K190" i="21"/>
  <c r="K263" i="21" s="1"/>
  <c r="P190" i="21"/>
  <c r="P192" i="21" s="1"/>
  <c r="P193" i="21" s="1"/>
  <c r="R190" i="21"/>
  <c r="H198" i="21"/>
  <c r="H266" i="21" s="1"/>
  <c r="K199" i="21"/>
  <c r="K267" i="21" s="1"/>
  <c r="H200" i="21"/>
  <c r="H268" i="21" s="1"/>
  <c r="H201" i="21"/>
  <c r="H269" i="21" s="1"/>
  <c r="V201" i="21"/>
  <c r="C12" i="21" s="1"/>
  <c r="K202" i="21"/>
  <c r="K203" i="21"/>
  <c r="R203" i="21"/>
  <c r="K204" i="21"/>
  <c r="K205" i="21"/>
  <c r="K206" i="21"/>
  <c r="P206" i="21"/>
  <c r="P207" i="21" s="1"/>
  <c r="P208" i="21" s="1"/>
  <c r="R206" i="21"/>
  <c r="C207" i="21"/>
  <c r="A224" i="21"/>
  <c r="B224" i="21"/>
  <c r="E224" i="21"/>
  <c r="F224" i="21"/>
  <c r="G224" i="21"/>
  <c r="J224" i="21"/>
  <c r="B225" i="21"/>
  <c r="E225" i="21"/>
  <c r="F225" i="21"/>
  <c r="G225" i="21"/>
  <c r="J225" i="21"/>
  <c r="E226" i="21"/>
  <c r="F226" i="21"/>
  <c r="G226" i="21"/>
  <c r="J226" i="21"/>
  <c r="B227" i="21"/>
  <c r="E227" i="21"/>
  <c r="F227" i="21"/>
  <c r="G227" i="21"/>
  <c r="J227" i="21"/>
  <c r="A228" i="21"/>
  <c r="B229" i="21"/>
  <c r="E229" i="21"/>
  <c r="F229" i="21"/>
  <c r="G229" i="21"/>
  <c r="H229" i="21"/>
  <c r="I229" i="21"/>
  <c r="J229" i="21"/>
  <c r="K229" i="21"/>
  <c r="E230" i="21"/>
  <c r="F230" i="21"/>
  <c r="G230" i="21"/>
  <c r="H230" i="21"/>
  <c r="J230" i="21"/>
  <c r="E231" i="21"/>
  <c r="F231" i="21"/>
  <c r="G231" i="21"/>
  <c r="J231" i="21"/>
  <c r="E232" i="21"/>
  <c r="F232" i="21"/>
  <c r="G232" i="21"/>
  <c r="I232" i="21"/>
  <c r="J232" i="21"/>
  <c r="K232" i="21"/>
  <c r="E233" i="21"/>
  <c r="F233" i="21"/>
  <c r="G233" i="21"/>
  <c r="I233" i="21"/>
  <c r="J233" i="21"/>
  <c r="K233" i="21"/>
  <c r="E234" i="21"/>
  <c r="F234" i="21"/>
  <c r="G234" i="21"/>
  <c r="I234" i="21"/>
  <c r="J234" i="21"/>
  <c r="K234" i="21"/>
  <c r="E235" i="21"/>
  <c r="F235" i="21"/>
  <c r="G235" i="21"/>
  <c r="J235" i="21"/>
  <c r="E236" i="21"/>
  <c r="F236" i="21"/>
  <c r="G236" i="21"/>
  <c r="J236" i="21"/>
  <c r="A237" i="21"/>
  <c r="E238" i="21"/>
  <c r="F238" i="21"/>
  <c r="G238" i="21"/>
  <c r="I238" i="21"/>
  <c r="J238" i="21"/>
  <c r="K238" i="21"/>
  <c r="E239" i="21"/>
  <c r="F239" i="21"/>
  <c r="G239" i="21"/>
  <c r="H239" i="21"/>
  <c r="J239" i="21"/>
  <c r="E240" i="21"/>
  <c r="F240" i="21"/>
  <c r="G240" i="21"/>
  <c r="J240" i="21"/>
  <c r="E241" i="21"/>
  <c r="F241" i="21"/>
  <c r="G241" i="21"/>
  <c r="I241" i="21"/>
  <c r="J241" i="21"/>
  <c r="K241" i="21"/>
  <c r="E242" i="21"/>
  <c r="F242" i="21"/>
  <c r="G242" i="21"/>
  <c r="I242" i="21"/>
  <c r="J242" i="21"/>
  <c r="K242" i="21"/>
  <c r="E243" i="21"/>
  <c r="F243" i="21"/>
  <c r="G243" i="21"/>
  <c r="I243" i="21"/>
  <c r="J243" i="21"/>
  <c r="K243" i="21"/>
  <c r="E244" i="21"/>
  <c r="F244" i="21"/>
  <c r="G244" i="21"/>
  <c r="J244" i="21"/>
  <c r="E245" i="21"/>
  <c r="F245" i="21"/>
  <c r="G245" i="21"/>
  <c r="J245" i="21"/>
  <c r="A246" i="21"/>
  <c r="B247" i="21"/>
  <c r="C247" i="21"/>
  <c r="E247" i="21"/>
  <c r="F247" i="21"/>
  <c r="G247" i="21"/>
  <c r="J247" i="21"/>
  <c r="A248" i="21"/>
  <c r="B249" i="21"/>
  <c r="C249" i="21"/>
  <c r="E249" i="21"/>
  <c r="F249" i="21"/>
  <c r="G249" i="21"/>
  <c r="H249" i="21"/>
  <c r="J249" i="21"/>
  <c r="B250" i="21"/>
  <c r="C250" i="21"/>
  <c r="E250" i="21"/>
  <c r="F250" i="21"/>
  <c r="G250" i="21"/>
  <c r="H250" i="21"/>
  <c r="J250" i="21"/>
  <c r="B251" i="21"/>
  <c r="C251" i="21"/>
  <c r="E251" i="21"/>
  <c r="F251" i="21"/>
  <c r="G251" i="21"/>
  <c r="J251" i="21"/>
  <c r="B252" i="21"/>
  <c r="C252" i="21"/>
  <c r="E252" i="21"/>
  <c r="F252" i="21"/>
  <c r="G252" i="21"/>
  <c r="H252" i="21"/>
  <c r="J252" i="21"/>
  <c r="B253" i="21"/>
  <c r="C253" i="21"/>
  <c r="E253" i="21"/>
  <c r="F253" i="21"/>
  <c r="G253" i="21"/>
  <c r="J253" i="21"/>
  <c r="A254" i="21"/>
  <c r="B255" i="21"/>
  <c r="C255" i="21"/>
  <c r="E255" i="21"/>
  <c r="F255" i="21"/>
  <c r="G255" i="21"/>
  <c r="J255" i="21"/>
  <c r="B256" i="21"/>
  <c r="E256" i="21"/>
  <c r="F256" i="21"/>
  <c r="G256" i="21"/>
  <c r="J256" i="21"/>
  <c r="B257" i="21"/>
  <c r="E257" i="21"/>
  <c r="F257" i="21"/>
  <c r="G257" i="21"/>
  <c r="J257" i="21"/>
  <c r="B258" i="21"/>
  <c r="E258" i="21"/>
  <c r="F258" i="21"/>
  <c r="G258" i="21"/>
  <c r="J258" i="21"/>
  <c r="B259" i="21"/>
  <c r="C259" i="21"/>
  <c r="E259" i="21"/>
  <c r="F259" i="21"/>
  <c r="G259" i="21"/>
  <c r="J259" i="21"/>
  <c r="B260" i="21"/>
  <c r="E260" i="21"/>
  <c r="F260" i="21"/>
  <c r="G260" i="21"/>
  <c r="J260" i="21"/>
  <c r="B261" i="21"/>
  <c r="C261" i="21"/>
  <c r="E261" i="21"/>
  <c r="F261" i="21"/>
  <c r="G261" i="21"/>
  <c r="J261" i="21"/>
  <c r="B262" i="21"/>
  <c r="C262" i="21"/>
  <c r="E262" i="21"/>
  <c r="F262" i="21"/>
  <c r="G262" i="21"/>
  <c r="J262" i="21"/>
  <c r="B263" i="21"/>
  <c r="C263" i="21"/>
  <c r="E263" i="21"/>
  <c r="F263" i="21"/>
  <c r="G263" i="21"/>
  <c r="J263" i="21"/>
  <c r="B264" i="21"/>
  <c r="C264" i="21"/>
  <c r="E264" i="21"/>
  <c r="F264" i="21"/>
  <c r="G264" i="21"/>
  <c r="J264" i="21"/>
  <c r="A265" i="21"/>
  <c r="B266" i="21"/>
  <c r="C266" i="21"/>
  <c r="E266" i="21"/>
  <c r="F266" i="21"/>
  <c r="G266" i="21"/>
  <c r="J266" i="21"/>
  <c r="B267" i="21"/>
  <c r="C267" i="21"/>
  <c r="E267" i="21"/>
  <c r="F267" i="21"/>
  <c r="G267" i="21"/>
  <c r="I267" i="21"/>
  <c r="J267" i="21"/>
  <c r="B268" i="21"/>
  <c r="C268" i="21"/>
  <c r="E268" i="21"/>
  <c r="F268" i="21"/>
  <c r="G268" i="21"/>
  <c r="J268" i="21"/>
  <c r="B269" i="21"/>
  <c r="C269" i="21"/>
  <c r="E269" i="21"/>
  <c r="F269" i="21"/>
  <c r="G269" i="21"/>
  <c r="J269" i="21"/>
  <c r="O274" i="21"/>
  <c r="H278" i="21"/>
  <c r="H320" i="21"/>
  <c r="D12" i="21" l="1"/>
  <c r="H9" i="21"/>
  <c r="K9" i="21" s="1"/>
  <c r="K187" i="21"/>
  <c r="K260" i="21" s="1"/>
  <c r="B232" i="21"/>
  <c r="K6" i="21"/>
  <c r="B234" i="21"/>
  <c r="I8" i="21"/>
  <c r="L8" i="21" s="1"/>
  <c r="E28" i="21"/>
  <c r="K104" i="21" s="1"/>
  <c r="K236" i="21" s="1"/>
  <c r="F161" i="21"/>
  <c r="B119" i="21"/>
  <c r="B244" i="21" s="1"/>
  <c r="K48" i="21"/>
  <c r="J13" i="21"/>
  <c r="R207" i="21"/>
  <c r="R208" i="21" s="1"/>
  <c r="D207" i="21" s="1"/>
  <c r="D206" i="21" s="1"/>
  <c r="V185" i="21"/>
  <c r="Q50" i="21"/>
  <c r="Q48" i="21"/>
  <c r="K8" i="21"/>
  <c r="D28" i="21"/>
  <c r="K168" i="21"/>
  <c r="K250" i="21" s="1"/>
  <c r="K167" i="21"/>
  <c r="K249" i="21" s="1"/>
  <c r="I6" i="21"/>
  <c r="L6" i="21" s="1"/>
  <c r="D15" i="21"/>
  <c r="K171" i="21"/>
  <c r="K253" i="21" s="1"/>
  <c r="C28" i="21"/>
  <c r="AV6" i="19"/>
  <c r="BL6" i="19"/>
  <c r="BD6" i="19"/>
  <c r="BL18" i="19"/>
  <c r="BD18" i="19"/>
  <c r="AV18" i="19"/>
  <c r="AV28" i="19"/>
  <c r="BL28" i="19"/>
  <c r="BD28" i="19"/>
  <c r="BL16" i="19"/>
  <c r="AV16" i="19"/>
  <c r="BD16" i="19"/>
  <c r="BD27" i="19"/>
  <c r="AV27" i="19"/>
  <c r="BL27" i="19"/>
  <c r="AV15" i="19"/>
  <c r="BL15" i="19"/>
  <c r="BD15" i="19"/>
  <c r="BL26" i="19"/>
  <c r="BD26" i="19"/>
  <c r="AV26" i="19"/>
  <c r="AV14" i="19"/>
  <c r="BL14" i="19"/>
  <c r="BD14" i="19"/>
  <c r="AV25" i="19"/>
  <c r="BL25" i="19"/>
  <c r="BD25" i="19"/>
  <c r="AV13" i="19"/>
  <c r="BD13" i="19"/>
  <c r="BL13" i="19"/>
  <c r="AV24" i="19"/>
  <c r="BL24" i="19"/>
  <c r="BD24" i="19"/>
  <c r="BD12" i="19"/>
  <c r="AV12" i="19"/>
  <c r="BL12" i="19"/>
  <c r="BD23" i="19"/>
  <c r="AV23" i="19"/>
  <c r="BL23" i="19"/>
  <c r="BD11" i="19"/>
  <c r="AV11" i="19"/>
  <c r="BL11" i="19"/>
  <c r="BD22" i="19"/>
  <c r="BL22" i="19"/>
  <c r="AV22" i="19"/>
  <c r="BL10" i="19"/>
  <c r="AV10" i="19"/>
  <c r="BD10" i="19"/>
  <c r="AV29" i="19"/>
  <c r="BL29" i="19"/>
  <c r="BD29" i="19"/>
  <c r="BL21" i="19"/>
  <c r="AV21" i="19"/>
  <c r="BD21" i="19"/>
  <c r="AV9" i="19"/>
  <c r="BD9" i="19"/>
  <c r="BL9" i="19"/>
  <c r="BL17" i="19"/>
  <c r="BD17" i="19"/>
  <c r="AV17" i="19"/>
  <c r="AV20" i="19"/>
  <c r="BL20" i="19"/>
  <c r="BD20" i="19"/>
  <c r="BD8" i="19"/>
  <c r="AV8" i="19"/>
  <c r="BL8" i="19"/>
  <c r="BD19" i="19"/>
  <c r="AV19" i="19"/>
  <c r="BL19" i="19"/>
  <c r="BL7" i="19"/>
  <c r="BD7" i="19"/>
  <c r="AV7" i="19"/>
  <c r="F160" i="21"/>
  <c r="F159" i="21"/>
  <c r="D68" i="21"/>
  <c r="D74" i="21" s="1"/>
  <c r="B120" i="21"/>
  <c r="B245" i="21" s="1"/>
  <c r="N274" i="21"/>
  <c r="K45" i="21"/>
  <c r="K54" i="21"/>
  <c r="K44" i="21"/>
  <c r="K52" i="21"/>
  <c r="K51" i="21"/>
  <c r="H10" i="21"/>
  <c r="K10" i="21" s="1"/>
  <c r="K7" i="21"/>
  <c r="V203" i="21"/>
  <c r="K189" i="21"/>
  <c r="K262" i="21" s="1"/>
  <c r="K185" i="21"/>
  <c r="K258" i="21" s="1"/>
  <c r="H260" i="21"/>
  <c r="M312" i="21" s="1"/>
  <c r="K188" i="21"/>
  <c r="K261" i="21" s="1"/>
  <c r="K184" i="21"/>
  <c r="K257" i="21" s="1"/>
  <c r="I15" i="21"/>
  <c r="R137" i="21"/>
  <c r="D136" i="21" s="1"/>
  <c r="D130" i="21" s="1"/>
  <c r="D11" i="21"/>
  <c r="K191" i="21"/>
  <c r="K264" i="21" s="1"/>
  <c r="K186" i="21"/>
  <c r="K259" i="21" s="1"/>
  <c r="U100" i="19"/>
  <c r="AN6" i="19"/>
  <c r="AN18" i="19"/>
  <c r="AN17" i="19"/>
  <c r="AN28" i="19"/>
  <c r="AN16" i="19"/>
  <c r="AN29" i="19"/>
  <c r="AN27" i="19"/>
  <c r="AN15" i="19"/>
  <c r="AN26" i="19"/>
  <c r="AN14" i="19"/>
  <c r="AN25" i="19"/>
  <c r="AN13" i="19"/>
  <c r="AN24" i="19"/>
  <c r="AN12" i="19"/>
  <c r="AN11" i="19"/>
  <c r="AN22" i="19"/>
  <c r="AN10" i="19"/>
  <c r="AN23" i="19"/>
  <c r="AN21" i="19"/>
  <c r="AN9" i="19"/>
  <c r="AN20" i="19"/>
  <c r="AN8" i="19"/>
  <c r="AN19" i="19"/>
  <c r="AN7" i="19"/>
  <c r="AA101" i="19"/>
  <c r="Y102" i="19"/>
  <c r="S102" i="19"/>
  <c r="V69" i="19"/>
  <c r="V24" i="19" s="1"/>
  <c r="BP24" i="19" s="1" a="1"/>
  <c r="BP24" i="19" s="1"/>
  <c r="BQ24" i="19" s="1"/>
  <c r="BR24" i="19" s="1"/>
  <c r="U69" i="19"/>
  <c r="U24" i="19" s="1"/>
  <c r="BH24" i="19" s="1" a="1"/>
  <c r="BH24" i="19" s="1"/>
  <c r="BI24" i="19" s="1"/>
  <c r="BJ24" i="19" s="1"/>
  <c r="T69" i="19"/>
  <c r="T24" i="19" s="1"/>
  <c r="AZ24" i="19" s="1" a="1"/>
  <c r="AZ24" i="19" s="1"/>
  <c r="BA24" i="19" s="1"/>
  <c r="BB24" i="19" s="1"/>
  <c r="S69" i="19"/>
  <c r="S24" i="19" s="1"/>
  <c r="AR24" i="19" s="1" a="1"/>
  <c r="AR24" i="19" s="1"/>
  <c r="AS24" i="19" s="1"/>
  <c r="AT24" i="19" s="1"/>
  <c r="R27" i="19"/>
  <c r="AJ27" i="19" s="1" a="1"/>
  <c r="AJ27" i="19" s="1"/>
  <c r="AK27" i="19" s="1"/>
  <c r="AL27" i="19" s="1"/>
  <c r="R25" i="19"/>
  <c r="AJ25" i="19" s="1" a="1"/>
  <c r="AJ25" i="19" s="1"/>
  <c r="AK25" i="19" s="1"/>
  <c r="AL25" i="19" s="1"/>
  <c r="R29" i="19"/>
  <c r="AJ29" i="19" s="1" a="1"/>
  <c r="AJ29" i="19" s="1"/>
  <c r="AK29" i="19" s="1"/>
  <c r="AL29" i="19" s="1"/>
  <c r="R26" i="19"/>
  <c r="AJ26" i="19" s="1" a="1"/>
  <c r="AJ26" i="19" s="1"/>
  <c r="AK26" i="19" s="1"/>
  <c r="AL26" i="19" s="1"/>
  <c r="R28" i="19"/>
  <c r="AJ28" i="19" s="1" a="1"/>
  <c r="AJ28" i="19" s="1"/>
  <c r="AK28" i="19" s="1"/>
  <c r="AL28" i="19" s="1"/>
  <c r="V64" i="19"/>
  <c r="V65" i="19" s="1"/>
  <c r="U64" i="19"/>
  <c r="U65" i="19" s="1"/>
  <c r="T64" i="19"/>
  <c r="T65" i="19" s="1"/>
  <c r="S64" i="19"/>
  <c r="S65" i="19" s="1"/>
  <c r="V59" i="19"/>
  <c r="U59" i="19"/>
  <c r="T59" i="19"/>
  <c r="S59" i="19"/>
  <c r="C8" i="21"/>
  <c r="D121" i="21"/>
  <c r="M121" i="21" s="1"/>
  <c r="L121" i="21" s="1"/>
  <c r="I170" i="21"/>
  <c r="I252" i="21" s="1"/>
  <c r="M170" i="21"/>
  <c r="D252" i="21"/>
  <c r="M300" i="21"/>
  <c r="M289" i="21"/>
  <c r="D174" i="21"/>
  <c r="D168" i="21"/>
  <c r="C10" i="21"/>
  <c r="D10" i="21" s="1"/>
  <c r="D167" i="21"/>
  <c r="D169" i="21"/>
  <c r="D171" i="21"/>
  <c r="D173" i="21"/>
  <c r="D175" i="21"/>
  <c r="C6" i="21"/>
  <c r="D6" i="21" s="1"/>
  <c r="M113" i="21"/>
  <c r="C224" i="21"/>
  <c r="D82" i="21"/>
  <c r="C7" i="21"/>
  <c r="D105" i="21"/>
  <c r="M105" i="21" s="1"/>
  <c r="L105" i="21" s="1"/>
  <c r="L9" i="21"/>
  <c r="N48" i="21"/>
  <c r="N45" i="21"/>
  <c r="N49" i="21"/>
  <c r="N50" i="21"/>
  <c r="N44" i="21"/>
  <c r="D172" i="21"/>
  <c r="C115" i="21"/>
  <c r="D99" i="21"/>
  <c r="C231" i="21"/>
  <c r="C192" i="21"/>
  <c r="C260" i="21"/>
  <c r="N46" i="21"/>
  <c r="N47" i="21"/>
  <c r="E61" i="21"/>
  <c r="C98" i="21" s="1"/>
  <c r="X85" i="21"/>
  <c r="X87" i="21" s="1"/>
  <c r="E66" i="21"/>
  <c r="C103" i="21" s="1"/>
  <c r="E60" i="21"/>
  <c r="Q46" i="21"/>
  <c r="C84" i="21" s="1"/>
  <c r="E67" i="21"/>
  <c r="C104" i="21" s="1"/>
  <c r="C74" i="21"/>
  <c r="K50" i="21"/>
  <c r="I7" i="21"/>
  <c r="E65" i="21"/>
  <c r="C102" i="21" s="1"/>
  <c r="Q49" i="21"/>
  <c r="I11" i="21"/>
  <c r="I14" i="21" s="1"/>
  <c r="H191" i="21"/>
  <c r="K46" i="21"/>
  <c r="J14" i="21"/>
  <c r="E64" i="21"/>
  <c r="C101" i="21" s="1"/>
  <c r="K55" i="21"/>
  <c r="K49" i="21"/>
  <c r="Q45" i="21"/>
  <c r="C83" i="21" s="1"/>
  <c r="E63" i="21"/>
  <c r="C100" i="21" s="1"/>
  <c r="Q47" i="21"/>
  <c r="C85" i="21" s="1"/>
  <c r="C6" i="20"/>
  <c r="L6" i="20"/>
  <c r="S6" i="20"/>
  <c r="C7" i="20"/>
  <c r="L7" i="20"/>
  <c r="S7" i="20"/>
  <c r="C8" i="20"/>
  <c r="L8" i="20"/>
  <c r="N8" i="20"/>
  <c r="P8" i="20"/>
  <c r="Q8" i="20"/>
  <c r="S8" i="20"/>
  <c r="S9" i="20" s="1"/>
  <c r="C9" i="20"/>
  <c r="L9" i="20"/>
  <c r="C10" i="20"/>
  <c r="L10" i="20"/>
  <c r="N10" i="20"/>
  <c r="O10" i="20"/>
  <c r="P10" i="20"/>
  <c r="Q10" i="20"/>
  <c r="S10" i="20"/>
  <c r="D16" i="20"/>
  <c r="T257" i="20" s="1"/>
  <c r="D17" i="20"/>
  <c r="J74" i="20" s="1"/>
  <c r="D18" i="20"/>
  <c r="F18" i="20"/>
  <c r="D19" i="20"/>
  <c r="J8" i="20" s="1"/>
  <c r="M8" i="20" s="1"/>
  <c r="D22" i="20"/>
  <c r="E22" i="20"/>
  <c r="F22" i="20"/>
  <c r="D23" i="20"/>
  <c r="E23" i="20"/>
  <c r="F23" i="20"/>
  <c r="D24" i="20"/>
  <c r="E24" i="20"/>
  <c r="F24" i="20"/>
  <c r="M93" i="20" s="1"/>
  <c r="N207" i="20" s="1"/>
  <c r="D27" i="20"/>
  <c r="E27" i="20"/>
  <c r="F27" i="20"/>
  <c r="D28" i="20"/>
  <c r="E28" i="20"/>
  <c r="F28" i="20"/>
  <c r="D29" i="20"/>
  <c r="E29" i="20"/>
  <c r="F29" i="20"/>
  <c r="M146" i="20" s="1"/>
  <c r="N225" i="20" s="1"/>
  <c r="D32" i="20"/>
  <c r="E32" i="20"/>
  <c r="F32" i="20"/>
  <c r="D33" i="20"/>
  <c r="E33" i="20"/>
  <c r="F33" i="20"/>
  <c r="D34" i="20"/>
  <c r="E34" i="20"/>
  <c r="F34" i="20"/>
  <c r="R7" i="20" s="1"/>
  <c r="D62" i="20"/>
  <c r="F45" i="20" s="1"/>
  <c r="G62" i="20"/>
  <c r="I41" i="20" s="1"/>
  <c r="I65" i="20" s="1"/>
  <c r="J62" i="20"/>
  <c r="K46" i="20" s="1"/>
  <c r="L62" i="20"/>
  <c r="M42" i="20" s="1"/>
  <c r="M70" i="20" s="1"/>
  <c r="C64" i="20"/>
  <c r="G64" i="20"/>
  <c r="J64" i="20"/>
  <c r="L64" i="20"/>
  <c r="C65" i="20"/>
  <c r="G65" i="20"/>
  <c r="J65" i="20"/>
  <c r="L65" i="20"/>
  <c r="W163" i="20" s="1"/>
  <c r="S169" i="20" s="1"/>
  <c r="S170" i="20" s="1"/>
  <c r="F169" i="20" s="1"/>
  <c r="C66" i="20"/>
  <c r="G66" i="20"/>
  <c r="J66" i="20"/>
  <c r="L66" i="20"/>
  <c r="M67" i="20"/>
  <c r="L67" i="20" s="1"/>
  <c r="G68" i="20"/>
  <c r="J68" i="20"/>
  <c r="L68" i="20"/>
  <c r="G69" i="20"/>
  <c r="J69" i="20"/>
  <c r="L69" i="20"/>
  <c r="G70" i="20"/>
  <c r="J70" i="20"/>
  <c r="L70" i="20"/>
  <c r="J76" i="20"/>
  <c r="D83" i="20"/>
  <c r="D85" i="20" s="1"/>
  <c r="F83" i="20"/>
  <c r="D108" i="20" s="1"/>
  <c r="D208" i="20" s="1"/>
  <c r="F85" i="20"/>
  <c r="C93" i="20"/>
  <c r="C207" i="20" s="1"/>
  <c r="J93" i="20"/>
  <c r="J207" i="20" s="1"/>
  <c r="M94" i="20"/>
  <c r="AC94" i="20"/>
  <c r="AE94" i="20"/>
  <c r="M95" i="20"/>
  <c r="M96" i="20"/>
  <c r="M97" i="20"/>
  <c r="M98" i="20"/>
  <c r="S98" i="20"/>
  <c r="M99" i="20"/>
  <c r="M100" i="20"/>
  <c r="Y100" i="20"/>
  <c r="M101" i="20"/>
  <c r="R101" i="20"/>
  <c r="R102" i="20" s="1"/>
  <c r="R103" i="20" s="1"/>
  <c r="S101" i="20"/>
  <c r="D102" i="20"/>
  <c r="F103" i="20"/>
  <c r="C108" i="20"/>
  <c r="C208" i="20" s="1"/>
  <c r="J108" i="20"/>
  <c r="J208" i="20" s="1"/>
  <c r="C109" i="20"/>
  <c r="C209" i="20" s="1"/>
  <c r="D109" i="20"/>
  <c r="J109" i="20"/>
  <c r="J209" i="20" s="1"/>
  <c r="S109" i="20"/>
  <c r="M110" i="20"/>
  <c r="M111" i="20"/>
  <c r="M112" i="20"/>
  <c r="M113" i="20"/>
  <c r="S113" i="20"/>
  <c r="M114" i="20"/>
  <c r="M115" i="20"/>
  <c r="M116" i="20"/>
  <c r="R116" i="20"/>
  <c r="R117" i="20" s="1"/>
  <c r="R118" i="20" s="1"/>
  <c r="S116" i="20"/>
  <c r="C123" i="20"/>
  <c r="C210" i="20" s="1"/>
  <c r="J123" i="20"/>
  <c r="J210" i="20" s="1"/>
  <c r="C124" i="20"/>
  <c r="C211" i="20" s="1"/>
  <c r="J124" i="20"/>
  <c r="AD124" i="20"/>
  <c r="C125" i="20"/>
  <c r="AG125" i="20"/>
  <c r="C126" i="20"/>
  <c r="J126" i="20"/>
  <c r="J213" i="20" s="1"/>
  <c r="AG126" i="20"/>
  <c r="C127" i="20"/>
  <c r="C214" i="20" s="1"/>
  <c r="M127" i="20"/>
  <c r="N214" i="20" s="1"/>
  <c r="AG127" i="20"/>
  <c r="C128" i="20"/>
  <c r="J128" i="20"/>
  <c r="J215" i="20" s="1"/>
  <c r="S128" i="20"/>
  <c r="C129" i="20"/>
  <c r="C216" i="20" s="1"/>
  <c r="J129" i="20"/>
  <c r="J216" i="20" s="1"/>
  <c r="C130" i="20"/>
  <c r="C217" i="20" s="1"/>
  <c r="C131" i="20"/>
  <c r="C218" i="20" s="1"/>
  <c r="M131" i="20"/>
  <c r="N218" i="20" s="1"/>
  <c r="R131" i="20"/>
  <c r="R132" i="20" s="1"/>
  <c r="R133" i="20" s="1"/>
  <c r="S131" i="20"/>
  <c r="C132" i="20"/>
  <c r="C219" i="20" s="1"/>
  <c r="J132" i="20"/>
  <c r="J219" i="20" s="1"/>
  <c r="C133" i="20"/>
  <c r="J133" i="20"/>
  <c r="J220" i="20" s="1"/>
  <c r="C134" i="20"/>
  <c r="C221" i="20" s="1"/>
  <c r="J134" i="20"/>
  <c r="J221" i="20" s="1"/>
  <c r="C135" i="20"/>
  <c r="C222" i="20" s="1"/>
  <c r="M135" i="20"/>
  <c r="N222" i="20" s="1"/>
  <c r="C136" i="20"/>
  <c r="C223" i="20" s="1"/>
  <c r="J136" i="20"/>
  <c r="J223" i="20" s="1"/>
  <c r="M137" i="20"/>
  <c r="M138" i="20"/>
  <c r="F139" i="20"/>
  <c r="F137" i="20" s="1"/>
  <c r="C145" i="20"/>
  <c r="J145" i="20"/>
  <c r="K145" i="20" s="1"/>
  <c r="C146" i="20"/>
  <c r="C225" i="20" s="1"/>
  <c r="J146" i="20"/>
  <c r="K146" i="20" s="1"/>
  <c r="M147" i="20"/>
  <c r="M148" i="20"/>
  <c r="M149" i="20"/>
  <c r="M150" i="20"/>
  <c r="S150" i="20"/>
  <c r="W150" i="20"/>
  <c r="M151" i="20"/>
  <c r="M152" i="20"/>
  <c r="M153" i="20"/>
  <c r="R153" i="20"/>
  <c r="R154" i="20" s="1"/>
  <c r="R155" i="20" s="1"/>
  <c r="S153" i="20"/>
  <c r="F154" i="20"/>
  <c r="D9" i="20" s="1"/>
  <c r="M160" i="20"/>
  <c r="N226" i="20" s="1"/>
  <c r="J161" i="20"/>
  <c r="J227" i="20" s="1"/>
  <c r="AG161" i="20"/>
  <c r="J162" i="20"/>
  <c r="J228" i="20" s="1"/>
  <c r="S165" i="20"/>
  <c r="M168" i="20"/>
  <c r="N234" i="20" s="1"/>
  <c r="R168" i="20"/>
  <c r="R169" i="20" s="1"/>
  <c r="R170" i="20" s="1"/>
  <c r="S168" i="20"/>
  <c r="D169" i="20"/>
  <c r="L180" i="20"/>
  <c r="L182" i="20" s="1"/>
  <c r="L183" i="20" s="1"/>
  <c r="D182" i="20"/>
  <c r="D184" i="20" s="1"/>
  <c r="H183" i="20"/>
  <c r="D189" i="20"/>
  <c r="E189" i="20"/>
  <c r="D190" i="20"/>
  <c r="F190" i="20" s="1"/>
  <c r="C205" i="20"/>
  <c r="C206" i="20"/>
  <c r="A207" i="20"/>
  <c r="D207" i="20"/>
  <c r="E207" i="20"/>
  <c r="G207" i="20"/>
  <c r="I207" i="20"/>
  <c r="M207" i="20"/>
  <c r="A208" i="20"/>
  <c r="E208" i="20"/>
  <c r="G208" i="20"/>
  <c r="I208" i="20"/>
  <c r="M208" i="20"/>
  <c r="D209" i="20"/>
  <c r="E209" i="20"/>
  <c r="G209" i="20"/>
  <c r="I209" i="20"/>
  <c r="M209" i="20"/>
  <c r="A210" i="20"/>
  <c r="E210" i="20"/>
  <c r="G210" i="20"/>
  <c r="I210" i="20"/>
  <c r="M210" i="20"/>
  <c r="E211" i="20"/>
  <c r="G211" i="20"/>
  <c r="I211" i="20"/>
  <c r="J211" i="20"/>
  <c r="M211" i="20"/>
  <c r="C212" i="20"/>
  <c r="E212" i="20"/>
  <c r="G212" i="20"/>
  <c r="I212" i="20"/>
  <c r="J212" i="20"/>
  <c r="L212" i="20"/>
  <c r="M212" i="20"/>
  <c r="N212" i="20"/>
  <c r="C213" i="20"/>
  <c r="E213" i="20"/>
  <c r="G213" i="20"/>
  <c r="I213" i="20"/>
  <c r="M213" i="20"/>
  <c r="E214" i="20"/>
  <c r="G214" i="20"/>
  <c r="I214" i="20"/>
  <c r="J214" i="20"/>
  <c r="M214" i="20"/>
  <c r="C215" i="20"/>
  <c r="E215" i="20"/>
  <c r="G215" i="20"/>
  <c r="I215" i="20"/>
  <c r="M215" i="20"/>
  <c r="E216" i="20"/>
  <c r="G216" i="20"/>
  <c r="I216" i="20"/>
  <c r="M216" i="20"/>
  <c r="E217" i="20"/>
  <c r="G217" i="20"/>
  <c r="I217" i="20"/>
  <c r="J217" i="20"/>
  <c r="L217" i="20"/>
  <c r="M217" i="20"/>
  <c r="N217" i="20"/>
  <c r="E218" i="20"/>
  <c r="G218" i="20"/>
  <c r="I218" i="20"/>
  <c r="J218" i="20"/>
  <c r="M218" i="20"/>
  <c r="E219" i="20"/>
  <c r="G219" i="20"/>
  <c r="I219" i="20"/>
  <c r="M219" i="20"/>
  <c r="C220" i="20"/>
  <c r="E220" i="20"/>
  <c r="G220" i="20"/>
  <c r="I220" i="20"/>
  <c r="M220" i="20"/>
  <c r="E221" i="20"/>
  <c r="G221" i="20"/>
  <c r="I221" i="20"/>
  <c r="M221" i="20"/>
  <c r="E222" i="20"/>
  <c r="G222" i="20"/>
  <c r="I222" i="20"/>
  <c r="J222" i="20"/>
  <c r="M222" i="20"/>
  <c r="E223" i="20"/>
  <c r="G223" i="20"/>
  <c r="I223" i="20"/>
  <c r="M223" i="20"/>
  <c r="A224" i="20"/>
  <c r="C224" i="20"/>
  <c r="E224" i="20"/>
  <c r="F224" i="20"/>
  <c r="G224" i="20"/>
  <c r="I224" i="20"/>
  <c r="J224" i="20"/>
  <c r="M224" i="20"/>
  <c r="E225" i="20"/>
  <c r="F225" i="20"/>
  <c r="G225" i="20"/>
  <c r="I225" i="20"/>
  <c r="M225" i="20"/>
  <c r="C226" i="20"/>
  <c r="D226" i="20"/>
  <c r="E226" i="20"/>
  <c r="G226" i="20"/>
  <c r="I226" i="20"/>
  <c r="J226" i="20"/>
  <c r="M226" i="20"/>
  <c r="C227" i="20"/>
  <c r="D227" i="20"/>
  <c r="E227" i="20"/>
  <c r="G227" i="20"/>
  <c r="I227" i="20"/>
  <c r="M227" i="20"/>
  <c r="C228" i="20"/>
  <c r="D228" i="20"/>
  <c r="E228" i="20"/>
  <c r="G228" i="20"/>
  <c r="I228" i="20"/>
  <c r="M228" i="20"/>
  <c r="C229" i="20"/>
  <c r="D229" i="20"/>
  <c r="E229" i="20"/>
  <c r="G229" i="20"/>
  <c r="C230" i="20"/>
  <c r="D230" i="20"/>
  <c r="E230" i="20"/>
  <c r="G230" i="20"/>
  <c r="C231" i="20"/>
  <c r="D231" i="20"/>
  <c r="E231" i="20"/>
  <c r="G231" i="20"/>
  <c r="C232" i="20"/>
  <c r="D232" i="20"/>
  <c r="E232" i="20"/>
  <c r="G232" i="20"/>
  <c r="C233" i="20"/>
  <c r="D233" i="20"/>
  <c r="E233" i="20"/>
  <c r="G233" i="20"/>
  <c r="C234" i="20"/>
  <c r="D234" i="20"/>
  <c r="E234" i="20"/>
  <c r="G234" i="20"/>
  <c r="J266" i="20"/>
  <c r="J267" i="20"/>
  <c r="J268" i="20"/>
  <c r="J270" i="20"/>
  <c r="Q60" i="19"/>
  <c r="K119" i="21" l="1"/>
  <c r="K244" i="21" s="1"/>
  <c r="K198" i="21"/>
  <c r="K266" i="21" s="1"/>
  <c r="D199" i="21"/>
  <c r="M199" i="21" s="1"/>
  <c r="M133" i="20"/>
  <c r="N220" i="20" s="1"/>
  <c r="K200" i="21"/>
  <c r="K268" i="21" s="1"/>
  <c r="D201" i="21"/>
  <c r="I201" i="21" s="1"/>
  <c r="I269" i="21" s="1"/>
  <c r="M123" i="20"/>
  <c r="N210" i="20" s="1"/>
  <c r="D205" i="21"/>
  <c r="D198" i="21"/>
  <c r="D266" i="21" s="1"/>
  <c r="D204" i="21"/>
  <c r="M204" i="21" s="1"/>
  <c r="L204" i="21" s="1"/>
  <c r="K99" i="21"/>
  <c r="K231" i="21" s="1"/>
  <c r="K201" i="21"/>
  <c r="K269" i="21" s="1"/>
  <c r="D202" i="21"/>
  <c r="I202" i="21" s="1"/>
  <c r="M57" i="20"/>
  <c r="K85" i="21"/>
  <c r="K227" i="21" s="1"/>
  <c r="K114" i="21"/>
  <c r="K239" i="21" s="1"/>
  <c r="K120" i="21"/>
  <c r="K245" i="21" s="1"/>
  <c r="K103" i="21"/>
  <c r="K235" i="21" s="1"/>
  <c r="K98" i="21"/>
  <c r="K230" i="21" s="1"/>
  <c r="N70" i="20"/>
  <c r="K115" i="21"/>
  <c r="K240" i="21" s="1"/>
  <c r="D203" i="21"/>
  <c r="I203" i="21" s="1"/>
  <c r="N289" i="21"/>
  <c r="D200" i="21"/>
  <c r="D268" i="21" s="1"/>
  <c r="N300" i="21"/>
  <c r="D117" i="20"/>
  <c r="F148" i="20"/>
  <c r="K148" i="20" s="1"/>
  <c r="M40" i="20"/>
  <c r="M64" i="20" s="1"/>
  <c r="F163" i="21"/>
  <c r="G15" i="21" s="1"/>
  <c r="F15" i="21" s="1"/>
  <c r="C9" i="21"/>
  <c r="D9" i="21" s="1"/>
  <c r="V187" i="21"/>
  <c r="R192" i="21"/>
  <c r="R193" i="21" s="1"/>
  <c r="D192" i="21" s="1"/>
  <c r="N312" i="21"/>
  <c r="H13" i="21"/>
  <c r="K13" i="21" s="1"/>
  <c r="W126" i="20"/>
  <c r="S132" i="20" s="1"/>
  <c r="I52" i="20"/>
  <c r="M44" i="20"/>
  <c r="M41" i="20"/>
  <c r="M65" i="20" s="1"/>
  <c r="H14" i="21"/>
  <c r="K14" i="21" s="1"/>
  <c r="D133" i="21"/>
  <c r="I133" i="21" s="1"/>
  <c r="N67" i="20"/>
  <c r="D128" i="21"/>
  <c r="M128" i="21" s="1"/>
  <c r="L128" i="21" s="1"/>
  <c r="D131" i="21"/>
  <c r="I131" i="21" s="1"/>
  <c r="D135" i="21"/>
  <c r="M135" i="21" s="1"/>
  <c r="L135" i="21" s="1"/>
  <c r="D127" i="21"/>
  <c r="D247" i="21" s="1"/>
  <c r="N65" i="20"/>
  <c r="D129" i="21"/>
  <c r="M129" i="21" s="1"/>
  <c r="L129" i="21" s="1"/>
  <c r="M126" i="20"/>
  <c r="N213" i="20" s="1"/>
  <c r="M134" i="20"/>
  <c r="N221" i="20" s="1"/>
  <c r="N66" i="20"/>
  <c r="M129" i="20"/>
  <c r="N216" i="20" s="1"/>
  <c r="M145" i="20"/>
  <c r="N224" i="20" s="1"/>
  <c r="L74" i="20"/>
  <c r="F189" i="20"/>
  <c r="D132" i="21"/>
  <c r="M132" i="21" s="1"/>
  <c r="L132" i="21" s="1"/>
  <c r="D134" i="21"/>
  <c r="I134" i="21" s="1"/>
  <c r="E9" i="20"/>
  <c r="N68" i="20"/>
  <c r="R10" i="20"/>
  <c r="M283" i="21"/>
  <c r="N283" i="21" s="1"/>
  <c r="M303" i="21"/>
  <c r="N303" i="21" s="1"/>
  <c r="M285" i="21"/>
  <c r="N285" i="21" s="1"/>
  <c r="M305" i="21"/>
  <c r="N305" i="21" s="1"/>
  <c r="P6" i="21"/>
  <c r="AF89" i="21" s="1"/>
  <c r="M308" i="21"/>
  <c r="N308" i="21" s="1"/>
  <c r="M296" i="21"/>
  <c r="N296" i="21" s="1"/>
  <c r="M311" i="21"/>
  <c r="N311" i="21" s="1"/>
  <c r="M310" i="21"/>
  <c r="N310" i="21" s="1"/>
  <c r="M288" i="21"/>
  <c r="N288" i="21" s="1"/>
  <c r="M291" i="21"/>
  <c r="N291" i="21" s="1"/>
  <c r="M290" i="21"/>
  <c r="N290" i="21" s="1"/>
  <c r="M276" i="21"/>
  <c r="N276" i="21" s="1"/>
  <c r="M301" i="21"/>
  <c r="N301" i="21" s="1"/>
  <c r="M281" i="21"/>
  <c r="N281" i="21" s="1"/>
  <c r="K56" i="21"/>
  <c r="M306" i="21"/>
  <c r="N306" i="21" s="1"/>
  <c r="M293" i="21"/>
  <c r="N293" i="21" s="1"/>
  <c r="M280" i="21"/>
  <c r="N280" i="21" s="1"/>
  <c r="M286" i="21"/>
  <c r="N286" i="21" s="1"/>
  <c r="M292" i="21"/>
  <c r="N292" i="21" s="1"/>
  <c r="M313" i="21"/>
  <c r="N313" i="21" s="1"/>
  <c r="M309" i="21"/>
  <c r="N309" i="21" s="1"/>
  <c r="K49" i="20"/>
  <c r="K48" i="20"/>
  <c r="D8" i="20"/>
  <c r="E8" i="20" s="1"/>
  <c r="K40" i="20"/>
  <c r="K64" i="20" s="1"/>
  <c r="K61" i="20"/>
  <c r="I48" i="20"/>
  <c r="G71" i="20"/>
  <c r="F61" i="20"/>
  <c r="M45" i="20"/>
  <c r="F84" i="20"/>
  <c r="W111" i="20" s="1"/>
  <c r="K60" i="20"/>
  <c r="K45" i="20"/>
  <c r="W96" i="20"/>
  <c r="D6" i="20" s="1"/>
  <c r="K57" i="20"/>
  <c r="K44" i="20"/>
  <c r="K66" i="20" s="1"/>
  <c r="J71" i="20"/>
  <c r="J75" i="20" s="1"/>
  <c r="L75" i="20" s="1"/>
  <c r="F57" i="20"/>
  <c r="K42" i="20"/>
  <c r="K70" i="20" s="1"/>
  <c r="K56" i="20"/>
  <c r="K53" i="20"/>
  <c r="K41" i="20"/>
  <c r="K65" i="20" s="1"/>
  <c r="K52" i="20"/>
  <c r="F41" i="20"/>
  <c r="F65" i="20" s="1"/>
  <c r="M109" i="20"/>
  <c r="N209" i="20" s="1"/>
  <c r="M161" i="20"/>
  <c r="N227" i="20" s="1"/>
  <c r="M108" i="20"/>
  <c r="N208" i="20" s="1"/>
  <c r="U243" i="20"/>
  <c r="M136" i="20"/>
  <c r="N223" i="20" s="1"/>
  <c r="M132" i="20"/>
  <c r="N219" i="20" s="1"/>
  <c r="M128" i="20"/>
  <c r="N215" i="20" s="1"/>
  <c r="M162" i="20"/>
  <c r="N228" i="20" s="1"/>
  <c r="M124" i="20"/>
  <c r="N211" i="20" s="1"/>
  <c r="L76" i="20"/>
  <c r="AB93" i="20"/>
  <c r="J225" i="20"/>
  <c r="AA102" i="19"/>
  <c r="Y103" i="19"/>
  <c r="S103" i="19"/>
  <c r="U102" i="19"/>
  <c r="U27" i="19"/>
  <c r="BH27" i="19" s="1" a="1"/>
  <c r="BH27" i="19" s="1"/>
  <c r="BI27" i="19" s="1"/>
  <c r="BJ27" i="19" s="1"/>
  <c r="U26" i="19"/>
  <c r="BH26" i="19" s="1" a="1"/>
  <c r="BH26" i="19" s="1"/>
  <c r="BI26" i="19" s="1"/>
  <c r="BJ26" i="19" s="1"/>
  <c r="U29" i="19"/>
  <c r="BH29" i="19" s="1" a="1"/>
  <c r="BH29" i="19" s="1"/>
  <c r="BI29" i="19" s="1"/>
  <c r="BJ29" i="19" s="1"/>
  <c r="U25" i="19"/>
  <c r="BH25" i="19" s="1" a="1"/>
  <c r="BH25" i="19" s="1"/>
  <c r="BI25" i="19" s="1"/>
  <c r="BJ25" i="19" s="1"/>
  <c r="U28" i="19"/>
  <c r="BH28" i="19" s="1" a="1"/>
  <c r="BH28" i="19" s="1"/>
  <c r="BI28" i="19" s="1"/>
  <c r="BJ28" i="19" s="1"/>
  <c r="S25" i="19"/>
  <c r="AR25" i="19" s="1" a="1"/>
  <c r="AR25" i="19" s="1"/>
  <c r="AS25" i="19" s="1"/>
  <c r="AT25" i="19" s="1"/>
  <c r="S28" i="19"/>
  <c r="AR28" i="19" s="1" a="1"/>
  <c r="AR28" i="19" s="1"/>
  <c r="AS28" i="19" s="1"/>
  <c r="AT28" i="19" s="1"/>
  <c r="S26" i="19"/>
  <c r="AR26" i="19" s="1" a="1"/>
  <c r="AR26" i="19" s="1"/>
  <c r="AS26" i="19" s="1"/>
  <c r="AT26" i="19" s="1"/>
  <c r="S29" i="19"/>
  <c r="AR29" i="19" s="1" a="1"/>
  <c r="AR29" i="19" s="1"/>
  <c r="AS29" i="19" s="1"/>
  <c r="AT29" i="19" s="1"/>
  <c r="S27" i="19"/>
  <c r="AR27" i="19" s="1" a="1"/>
  <c r="AR27" i="19" s="1"/>
  <c r="AS27" i="19" s="1"/>
  <c r="AT27" i="19" s="1"/>
  <c r="V26" i="19"/>
  <c r="BP26" i="19" s="1" a="1"/>
  <c r="BP26" i="19" s="1"/>
  <c r="BQ26" i="19" s="1"/>
  <c r="BR26" i="19" s="1"/>
  <c r="V29" i="19"/>
  <c r="BP29" i="19" s="1" a="1"/>
  <c r="BP29" i="19" s="1"/>
  <c r="BQ29" i="19" s="1"/>
  <c r="BR29" i="19" s="1"/>
  <c r="V27" i="19"/>
  <c r="BP27" i="19" s="1" a="1"/>
  <c r="BP27" i="19" s="1"/>
  <c r="BQ27" i="19" s="1"/>
  <c r="BR27" i="19" s="1"/>
  <c r="V25" i="19"/>
  <c r="BP25" i="19" s="1" a="1"/>
  <c r="BP25" i="19" s="1"/>
  <c r="BQ25" i="19" s="1"/>
  <c r="BR25" i="19" s="1"/>
  <c r="V28" i="19"/>
  <c r="BP28" i="19" s="1" a="1"/>
  <c r="BP28" i="19" s="1"/>
  <c r="BQ28" i="19" s="1"/>
  <c r="BR28" i="19" s="1"/>
  <c r="T25" i="19"/>
  <c r="AZ25" i="19" s="1" a="1"/>
  <c r="AZ25" i="19" s="1"/>
  <c r="BA25" i="19" s="1"/>
  <c r="BB25" i="19" s="1"/>
  <c r="T28" i="19"/>
  <c r="AZ28" i="19" s="1" a="1"/>
  <c r="AZ28" i="19" s="1"/>
  <c r="BA28" i="19" s="1"/>
  <c r="BB28" i="19" s="1"/>
  <c r="T26" i="19"/>
  <c r="AZ26" i="19" s="1" a="1"/>
  <c r="AZ26" i="19" s="1"/>
  <c r="BA26" i="19" s="1"/>
  <c r="BB26" i="19" s="1"/>
  <c r="T29" i="19"/>
  <c r="AZ29" i="19" s="1" a="1"/>
  <c r="AZ29" i="19" s="1"/>
  <c r="BA29" i="19" s="1"/>
  <c r="BB29" i="19" s="1"/>
  <c r="T27" i="19"/>
  <c r="AZ27" i="19" s="1" a="1"/>
  <c r="AZ27" i="19" s="1"/>
  <c r="BA27" i="19" s="1"/>
  <c r="BB27" i="19" s="1"/>
  <c r="C232" i="21"/>
  <c r="C116" i="21"/>
  <c r="D100" i="21"/>
  <c r="C234" i="21"/>
  <c r="C118" i="21"/>
  <c r="D102" i="21"/>
  <c r="I168" i="21"/>
  <c r="I250" i="21" s="1"/>
  <c r="D250" i="21"/>
  <c r="I13" i="21"/>
  <c r="L13" i="21" s="1"/>
  <c r="L7" i="21"/>
  <c r="D7" i="21"/>
  <c r="I174" i="21"/>
  <c r="M174" i="21"/>
  <c r="L174" i="21" s="1"/>
  <c r="I82" i="21"/>
  <c r="I224" i="21" s="1"/>
  <c r="M82" i="21"/>
  <c r="D224" i="21"/>
  <c r="D83" i="21"/>
  <c r="C225" i="21"/>
  <c r="C117" i="21"/>
  <c r="D101" i="21"/>
  <c r="C233" i="21"/>
  <c r="I206" i="21"/>
  <c r="M206" i="21"/>
  <c r="L206" i="21" s="1"/>
  <c r="L14" i="21"/>
  <c r="C120" i="21"/>
  <c r="C236" i="21"/>
  <c r="D104" i="21"/>
  <c r="C91" i="21"/>
  <c r="I175" i="21"/>
  <c r="M175" i="21"/>
  <c r="L175" i="21" s="1"/>
  <c r="L170" i="21"/>
  <c r="L252" i="21" s="1"/>
  <c r="M252" i="21"/>
  <c r="E68" i="21"/>
  <c r="C97" i="21"/>
  <c r="I99" i="21"/>
  <c r="I231" i="21" s="1"/>
  <c r="D231" i="21"/>
  <c r="I171" i="21"/>
  <c r="I253" i="21" s="1"/>
  <c r="D253" i="21"/>
  <c r="D84" i="21"/>
  <c r="C226" i="21"/>
  <c r="M238" i="21"/>
  <c r="I173" i="21"/>
  <c r="M173" i="21"/>
  <c r="L173" i="21" s="1"/>
  <c r="I172" i="21"/>
  <c r="M172" i="21"/>
  <c r="L172" i="21" s="1"/>
  <c r="I130" i="21"/>
  <c r="M130" i="21"/>
  <c r="L130" i="21" s="1"/>
  <c r="I167" i="21"/>
  <c r="I249" i="21" s="1"/>
  <c r="D249" i="21"/>
  <c r="D269" i="21"/>
  <c r="D8" i="21"/>
  <c r="C119" i="21"/>
  <c r="C235" i="21"/>
  <c r="D103" i="21"/>
  <c r="D115" i="21"/>
  <c r="C240" i="21"/>
  <c r="I169" i="21"/>
  <c r="I251" i="21" s="1"/>
  <c r="D251" i="21"/>
  <c r="D85" i="21"/>
  <c r="C227" i="21"/>
  <c r="C114" i="21"/>
  <c r="D98" i="21"/>
  <c r="C230" i="21"/>
  <c r="M205" i="21"/>
  <c r="L205" i="21" s="1"/>
  <c r="I205" i="21"/>
  <c r="L224" i="20"/>
  <c r="K137" i="20"/>
  <c r="O137" i="20"/>
  <c r="N137" i="20" s="1"/>
  <c r="F164" i="20"/>
  <c r="F160" i="20"/>
  <c r="F162" i="20"/>
  <c r="F167" i="20"/>
  <c r="F166" i="20"/>
  <c r="F165" i="20"/>
  <c r="D10" i="20"/>
  <c r="E10" i="20" s="1"/>
  <c r="F168" i="20"/>
  <c r="F161" i="20"/>
  <c r="F163" i="20"/>
  <c r="O146" i="20"/>
  <c r="L225" i="20"/>
  <c r="U256" i="20"/>
  <c r="F152" i="20"/>
  <c r="F150" i="20"/>
  <c r="L71" i="20"/>
  <c r="I60" i="20"/>
  <c r="I56" i="20"/>
  <c r="F52" i="20"/>
  <c r="F48" i="20"/>
  <c r="I44" i="20"/>
  <c r="R8" i="20"/>
  <c r="F60" i="20"/>
  <c r="F56" i="20"/>
  <c r="M51" i="20"/>
  <c r="M69" i="20" s="1"/>
  <c r="M47" i="20"/>
  <c r="M68" i="20" s="1"/>
  <c r="F44" i="20"/>
  <c r="I40" i="20"/>
  <c r="I64" i="20" s="1"/>
  <c r="R9" i="20"/>
  <c r="T256" i="20"/>
  <c r="E185" i="20"/>
  <c r="H184" i="20" s="1"/>
  <c r="F138" i="20"/>
  <c r="N69" i="20"/>
  <c r="K62" i="20"/>
  <c r="K59" i="20"/>
  <c r="K55" i="20"/>
  <c r="K51" i="20"/>
  <c r="K47" i="20"/>
  <c r="K68" i="20" s="1"/>
  <c r="K43" i="20"/>
  <c r="F40" i="20"/>
  <c r="P257" i="20"/>
  <c r="F147" i="20"/>
  <c r="N64" i="20"/>
  <c r="I59" i="20"/>
  <c r="I55" i="20"/>
  <c r="F51" i="20"/>
  <c r="F47" i="20"/>
  <c r="F43" i="20"/>
  <c r="J6" i="20"/>
  <c r="M6" i="20" s="1"/>
  <c r="U246" i="20"/>
  <c r="U255" i="20"/>
  <c r="T255" i="20"/>
  <c r="U245" i="20"/>
  <c r="I62" i="20"/>
  <c r="K58" i="20"/>
  <c r="K54" i="20"/>
  <c r="K50" i="20"/>
  <c r="J9" i="20"/>
  <c r="M9" i="20" s="1"/>
  <c r="P256" i="20"/>
  <c r="T245" i="20"/>
  <c r="F151" i="20"/>
  <c r="F149" i="20"/>
  <c r="I58" i="20"/>
  <c r="I54" i="20"/>
  <c r="I50" i="20"/>
  <c r="I46" i="20"/>
  <c r="J10" i="20"/>
  <c r="M10" i="20" s="1"/>
  <c r="J7" i="20"/>
  <c r="M7" i="20" s="1"/>
  <c r="U258" i="20"/>
  <c r="P245" i="20"/>
  <c r="E274" i="20" s="1"/>
  <c r="F58" i="20"/>
  <c r="F54" i="20"/>
  <c r="F50" i="20"/>
  <c r="F42" i="20"/>
  <c r="T243" i="20"/>
  <c r="U244" i="20"/>
  <c r="F153" i="20"/>
  <c r="T244" i="20"/>
  <c r="I53" i="20"/>
  <c r="I49" i="20"/>
  <c r="I45" i="20"/>
  <c r="U257" i="20"/>
  <c r="P244" i="20"/>
  <c r="E273" i="20" s="1"/>
  <c r="I61" i="20"/>
  <c r="I57" i="20"/>
  <c r="F53" i="20"/>
  <c r="F49" i="20"/>
  <c r="S35" i="18"/>
  <c r="S36" i="18"/>
  <c r="R37" i="18"/>
  <c r="S37" i="18" s="1"/>
  <c r="S38" i="18"/>
  <c r="R44" i="18"/>
  <c r="S44" i="18"/>
  <c r="Q46" i="18"/>
  <c r="Q47" i="18"/>
  <c r="Q45" i="18"/>
  <c r="Q48" i="18"/>
  <c r="AH45" i="18" s="1"/>
  <c r="Q49" i="18"/>
  <c r="P68" i="18" s="1"/>
  <c r="P69" i="18" s="1"/>
  <c r="P70" i="18" s="1"/>
  <c r="AI56" i="18"/>
  <c r="Q76" i="18"/>
  <c r="M203" i="21" l="1"/>
  <c r="L203" i="21" s="1"/>
  <c r="I198" i="21"/>
  <c r="I266" i="21" s="1"/>
  <c r="I204" i="21"/>
  <c r="D267" i="21"/>
  <c r="I200" i="21"/>
  <c r="I268" i="21" s="1"/>
  <c r="M202" i="21"/>
  <c r="L202" i="21" s="1"/>
  <c r="D14" i="21"/>
  <c r="C14" i="21"/>
  <c r="C13" i="21"/>
  <c r="O148" i="20"/>
  <c r="N148" i="20" s="1"/>
  <c r="S102" i="20"/>
  <c r="S103" i="20" s="1"/>
  <c r="F102" i="20" s="1"/>
  <c r="D13" i="21"/>
  <c r="O145" i="20"/>
  <c r="P224" i="20" s="1"/>
  <c r="M131" i="21"/>
  <c r="L131" i="21" s="1"/>
  <c r="M133" i="21"/>
  <c r="L133" i="21" s="1"/>
  <c r="M134" i="21"/>
  <c r="L134" i="21" s="1"/>
  <c r="M66" i="20"/>
  <c r="M71" i="20" s="1"/>
  <c r="I68" i="20"/>
  <c r="K69" i="20"/>
  <c r="K71" i="20" s="1"/>
  <c r="I135" i="21"/>
  <c r="I132" i="21"/>
  <c r="I127" i="21"/>
  <c r="I247" i="21" s="1"/>
  <c r="D188" i="21"/>
  <c r="D190" i="21"/>
  <c r="D182" i="21"/>
  <c r="D184" i="21"/>
  <c r="D189" i="21"/>
  <c r="D191" i="21"/>
  <c r="D186" i="21"/>
  <c r="D183" i="21"/>
  <c r="D185" i="21"/>
  <c r="D187" i="21"/>
  <c r="M167" i="21"/>
  <c r="L167" i="21" s="1"/>
  <c r="L249" i="21" s="1"/>
  <c r="S117" i="20"/>
  <c r="S118" i="20" s="1"/>
  <c r="F117" i="20" s="1"/>
  <c r="F113" i="20" s="1"/>
  <c r="W113" i="20"/>
  <c r="D7" i="20"/>
  <c r="I69" i="20"/>
  <c r="M201" i="21"/>
  <c r="M269" i="21" s="1"/>
  <c r="M99" i="21"/>
  <c r="M231" i="21" s="1"/>
  <c r="M171" i="21"/>
  <c r="L171" i="21" s="1"/>
  <c r="L253" i="21" s="1"/>
  <c r="Y104" i="19"/>
  <c r="AA103" i="19"/>
  <c r="S104" i="19"/>
  <c r="U103" i="19"/>
  <c r="M169" i="21"/>
  <c r="L199" i="21"/>
  <c r="L267" i="21" s="1"/>
  <c r="M267" i="21"/>
  <c r="C245" i="21"/>
  <c r="D120" i="21"/>
  <c r="M168" i="21"/>
  <c r="I115" i="21"/>
  <c r="I240" i="21" s="1"/>
  <c r="D240" i="21"/>
  <c r="D235" i="21"/>
  <c r="I103" i="21"/>
  <c r="I235" i="21" s="1"/>
  <c r="C106" i="21"/>
  <c r="C229" i="21"/>
  <c r="D97" i="21"/>
  <c r="D229" i="21" s="1"/>
  <c r="C113" i="21"/>
  <c r="M83" i="21"/>
  <c r="D225" i="21"/>
  <c r="I83" i="21"/>
  <c r="I225" i="21" s="1"/>
  <c r="L82" i="21"/>
  <c r="L224" i="21" s="1"/>
  <c r="M224" i="21"/>
  <c r="D119" i="21"/>
  <c r="C244" i="21"/>
  <c r="I84" i="21"/>
  <c r="I226" i="21" s="1"/>
  <c r="D226" i="21"/>
  <c r="M84" i="21"/>
  <c r="D234" i="21"/>
  <c r="M102" i="21"/>
  <c r="I98" i="21"/>
  <c r="I230" i="21" s="1"/>
  <c r="D230" i="21"/>
  <c r="M200" i="21"/>
  <c r="D118" i="21"/>
  <c r="C243" i="21"/>
  <c r="D114" i="21"/>
  <c r="C239" i="21"/>
  <c r="M307" i="21"/>
  <c r="N307" i="21" s="1"/>
  <c r="M287" i="21"/>
  <c r="N287" i="21" s="1"/>
  <c r="I85" i="21"/>
  <c r="I227" i="21" s="1"/>
  <c r="D227" i="21"/>
  <c r="I104" i="21"/>
  <c r="I236" i="21" s="1"/>
  <c r="D236" i="21"/>
  <c r="C242" i="21"/>
  <c r="D117" i="21"/>
  <c r="C241" i="21"/>
  <c r="D116" i="21"/>
  <c r="M101" i="21"/>
  <c r="D233" i="21"/>
  <c r="M100" i="21"/>
  <c r="D232" i="21"/>
  <c r="F62" i="20"/>
  <c r="F64" i="20"/>
  <c r="F69" i="20"/>
  <c r="F234" i="20"/>
  <c r="O168" i="20"/>
  <c r="K168" i="20"/>
  <c r="F66" i="20"/>
  <c r="D145" i="20"/>
  <c r="F109" i="20"/>
  <c r="F111" i="20"/>
  <c r="F116" i="20"/>
  <c r="F112" i="20"/>
  <c r="F114" i="20"/>
  <c r="F110" i="20"/>
  <c r="I70" i="20"/>
  <c r="F231" i="20"/>
  <c r="K165" i="20"/>
  <c r="O165" i="20"/>
  <c r="M62" i="20"/>
  <c r="N146" i="20"/>
  <c r="O225" i="20" s="1"/>
  <c r="P225" i="20"/>
  <c r="K166" i="20"/>
  <c r="O166" i="20"/>
  <c r="F232" i="20"/>
  <c r="K167" i="20"/>
  <c r="O167" i="20"/>
  <c r="F233" i="20"/>
  <c r="K150" i="20"/>
  <c r="O150" i="20"/>
  <c r="N150" i="20" s="1"/>
  <c r="F228" i="20"/>
  <c r="K162" i="20"/>
  <c r="L228" i="20" s="1"/>
  <c r="O152" i="20"/>
  <c r="N152" i="20" s="1"/>
  <c r="K152" i="20"/>
  <c r="L184" i="20"/>
  <c r="P195" i="20" s="1"/>
  <c r="P206" i="20" s="1"/>
  <c r="F226" i="20"/>
  <c r="K160" i="20"/>
  <c r="L226" i="20" s="1"/>
  <c r="O160" i="20"/>
  <c r="E184" i="20"/>
  <c r="P194" i="20" s="1"/>
  <c r="P205" i="20" s="1"/>
  <c r="K164" i="20"/>
  <c r="O164" i="20"/>
  <c r="F230" i="20"/>
  <c r="O138" i="20"/>
  <c r="N138" i="20" s="1"/>
  <c r="K138" i="20"/>
  <c r="F93" i="20"/>
  <c r="F99" i="20"/>
  <c r="F101" i="20"/>
  <c r="F97" i="20"/>
  <c r="F95" i="20"/>
  <c r="F100" i="20"/>
  <c r="F98" i="20"/>
  <c r="F94" i="20"/>
  <c r="F96" i="20"/>
  <c r="F70" i="20"/>
  <c r="D11" i="20"/>
  <c r="E6" i="20"/>
  <c r="E11" i="20" s="1"/>
  <c r="K149" i="20"/>
  <c r="O149" i="20"/>
  <c r="N149" i="20" s="1"/>
  <c r="N71" i="20"/>
  <c r="K153" i="20"/>
  <c r="O153" i="20"/>
  <c r="N153" i="20" s="1"/>
  <c r="K151" i="20"/>
  <c r="O151" i="20"/>
  <c r="N151" i="20" s="1"/>
  <c r="K147" i="20"/>
  <c r="O147" i="20"/>
  <c r="N147" i="20" s="1"/>
  <c r="I66" i="20"/>
  <c r="O163" i="20"/>
  <c r="F229" i="20"/>
  <c r="K163" i="20"/>
  <c r="D146" i="20"/>
  <c r="D225" i="20" s="1"/>
  <c r="F68" i="20"/>
  <c r="F227" i="20"/>
  <c r="K161" i="20"/>
  <c r="L227" i="20" s="1"/>
  <c r="E7" i="20"/>
  <c r="E12" i="20" s="1"/>
  <c r="D12" i="20"/>
  <c r="P75" i="18"/>
  <c r="R40" i="18"/>
  <c r="S40" i="18" s="1"/>
  <c r="S42" i="18" s="1"/>
  <c r="S48" i="18" s="1"/>
  <c r="AH51" i="18"/>
  <c r="AH43" i="18"/>
  <c r="AH44" i="18" s="1"/>
  <c r="P74" i="18"/>
  <c r="AH49" i="18"/>
  <c r="AH47" i="18"/>
  <c r="U46" i="18"/>
  <c r="P72" i="18"/>
  <c r="P71" i="18"/>
  <c r="P73" i="18" s="1"/>
  <c r="AH52" i="18"/>
  <c r="Q16" i="17"/>
  <c r="R16" i="17"/>
  <c r="S16" i="17"/>
  <c r="U16" i="17"/>
  <c r="Q17" i="17"/>
  <c r="R17" i="17"/>
  <c r="S17" i="17"/>
  <c r="U17" i="17"/>
  <c r="U15" i="17"/>
  <c r="S15" i="17"/>
  <c r="R15" i="17"/>
  <c r="Q15" i="17"/>
  <c r="M198" i="21" l="1"/>
  <c r="M266" i="21" s="1"/>
  <c r="N145" i="20"/>
  <c r="O224" i="20" s="1"/>
  <c r="F108" i="20"/>
  <c r="F115" i="20"/>
  <c r="D258" i="21"/>
  <c r="I185" i="21"/>
  <c r="M183" i="21"/>
  <c r="D256" i="21"/>
  <c r="I183" i="21"/>
  <c r="I256" i="21" s="1"/>
  <c r="I187" i="21"/>
  <c r="D260" i="21"/>
  <c r="M253" i="21"/>
  <c r="I186" i="21"/>
  <c r="D259" i="21"/>
  <c r="I191" i="21"/>
  <c r="D264" i="21"/>
  <c r="I189" i="21"/>
  <c r="D262" i="21"/>
  <c r="I184" i="21"/>
  <c r="I257" i="21" s="1"/>
  <c r="D257" i="21"/>
  <c r="M127" i="21"/>
  <c r="M136" i="21" s="1"/>
  <c r="I182" i="21"/>
  <c r="D255" i="21"/>
  <c r="I190" i="21"/>
  <c r="I263" i="21" s="1"/>
  <c r="D263" i="21"/>
  <c r="I188" i="21"/>
  <c r="D261" i="21"/>
  <c r="I71" i="20"/>
  <c r="D136" i="20"/>
  <c r="L198" i="21"/>
  <c r="L266" i="21" s="1"/>
  <c r="M249" i="21"/>
  <c r="AH48" i="18"/>
  <c r="AH54" i="18" s="1"/>
  <c r="AH50" i="18"/>
  <c r="M103" i="21"/>
  <c r="L103" i="21" s="1"/>
  <c r="L235" i="21" s="1"/>
  <c r="M207" i="21"/>
  <c r="L207" i="21" s="1"/>
  <c r="D123" i="20"/>
  <c r="D210" i="20" s="1"/>
  <c r="L201" i="21"/>
  <c r="L269" i="21" s="1"/>
  <c r="M104" i="21"/>
  <c r="M236" i="21" s="1"/>
  <c r="L99" i="21"/>
  <c r="L231" i="21" s="1"/>
  <c r="O162" i="20"/>
  <c r="P228" i="20" s="1"/>
  <c r="AA104" i="19"/>
  <c r="Y105" i="19"/>
  <c r="U104" i="19"/>
  <c r="S105" i="19"/>
  <c r="M226" i="21"/>
  <c r="L84" i="21"/>
  <c r="L226" i="21" s="1"/>
  <c r="C238" i="21"/>
  <c r="C122" i="21"/>
  <c r="D113" i="21"/>
  <c r="M225" i="21"/>
  <c r="L83" i="21"/>
  <c r="L225" i="21" s="1"/>
  <c r="L168" i="21"/>
  <c r="L250" i="21" s="1"/>
  <c r="M250" i="21"/>
  <c r="M232" i="21"/>
  <c r="L100" i="21"/>
  <c r="L232" i="21" s="1"/>
  <c r="M85" i="21"/>
  <c r="I119" i="21"/>
  <c r="I244" i="21" s="1"/>
  <c r="D244" i="21"/>
  <c r="I120" i="21"/>
  <c r="I245" i="21" s="1"/>
  <c r="D245" i="21"/>
  <c r="M176" i="21"/>
  <c r="D241" i="21"/>
  <c r="M116" i="21"/>
  <c r="M98" i="21"/>
  <c r="M233" i="21"/>
  <c r="L101" i="21"/>
  <c r="L233" i="21" s="1"/>
  <c r="I114" i="21"/>
  <c r="I239" i="21" s="1"/>
  <c r="D239" i="21"/>
  <c r="D243" i="21"/>
  <c r="M118" i="21"/>
  <c r="M234" i="21"/>
  <c r="L102" i="21"/>
  <c r="L234" i="21" s="1"/>
  <c r="D242" i="21"/>
  <c r="M117" i="21"/>
  <c r="M268" i="21"/>
  <c r="L200" i="21"/>
  <c r="L268" i="21" s="1"/>
  <c r="M115" i="21"/>
  <c r="M251" i="21"/>
  <c r="L169" i="21"/>
  <c r="L251" i="21" s="1"/>
  <c r="D223" i="20"/>
  <c r="F136" i="20"/>
  <c r="K115" i="20"/>
  <c r="O115" i="20"/>
  <c r="N115" i="20" s="1"/>
  <c r="D129" i="20"/>
  <c r="K93" i="20"/>
  <c r="L207" i="20" s="1"/>
  <c r="F207" i="20"/>
  <c r="K113" i="20"/>
  <c r="O113" i="20"/>
  <c r="N113" i="20" s="1"/>
  <c r="K99" i="20"/>
  <c r="O99" i="20"/>
  <c r="N99" i="20" s="1"/>
  <c r="U239" i="20"/>
  <c r="P239" i="20"/>
  <c r="T239" i="20"/>
  <c r="D224" i="20"/>
  <c r="D154" i="20"/>
  <c r="D131" i="20"/>
  <c r="D135" i="20"/>
  <c r="D133" i="20"/>
  <c r="D134" i="20"/>
  <c r="N167" i="20"/>
  <c r="O233" i="20" s="1"/>
  <c r="P233" i="20"/>
  <c r="O161" i="20"/>
  <c r="O96" i="20"/>
  <c r="N96" i="20" s="1"/>
  <c r="K96" i="20"/>
  <c r="D125" i="20"/>
  <c r="D127" i="20"/>
  <c r="N168" i="20"/>
  <c r="O234" i="20" s="1"/>
  <c r="P234" i="20"/>
  <c r="P229" i="20"/>
  <c r="N163" i="20"/>
  <c r="O229" i="20" s="1"/>
  <c r="O94" i="20"/>
  <c r="N94" i="20" s="1"/>
  <c r="K94" i="20"/>
  <c r="F208" i="20"/>
  <c r="K108" i="20"/>
  <c r="L208" i="20" s="1"/>
  <c r="D132" i="20"/>
  <c r="O110" i="20"/>
  <c r="N110" i="20" s="1"/>
  <c r="K110" i="20"/>
  <c r="D124" i="20"/>
  <c r="K98" i="20"/>
  <c r="O98" i="20"/>
  <c r="N98" i="20" s="1"/>
  <c r="P230" i="20"/>
  <c r="N164" i="20"/>
  <c r="O230" i="20" s="1"/>
  <c r="D126" i="20"/>
  <c r="O114" i="20"/>
  <c r="N114" i="20" s="1"/>
  <c r="K114" i="20"/>
  <c r="D128" i="20"/>
  <c r="K100" i="20"/>
  <c r="O100" i="20"/>
  <c r="N100" i="20" s="1"/>
  <c r="N166" i="20"/>
  <c r="O232" i="20" s="1"/>
  <c r="P232" i="20"/>
  <c r="K116" i="20"/>
  <c r="O116" i="20"/>
  <c r="N116" i="20" s="1"/>
  <c r="K95" i="20"/>
  <c r="O95" i="20"/>
  <c r="N95" i="20" s="1"/>
  <c r="O154" i="20"/>
  <c r="K97" i="20"/>
  <c r="O97" i="20"/>
  <c r="N97" i="20" s="1"/>
  <c r="D130" i="20"/>
  <c r="K111" i="20"/>
  <c r="O111" i="20"/>
  <c r="N111" i="20" s="1"/>
  <c r="F71" i="20"/>
  <c r="P231" i="20"/>
  <c r="N165" i="20"/>
  <c r="O231" i="20" s="1"/>
  <c r="K112" i="20"/>
  <c r="O112" i="20"/>
  <c r="N112" i="20" s="1"/>
  <c r="K101" i="20"/>
  <c r="O101" i="20"/>
  <c r="N101" i="20" s="1"/>
  <c r="P226" i="20"/>
  <c r="N160" i="20"/>
  <c r="O226" i="20" s="1"/>
  <c r="F209" i="20"/>
  <c r="K109" i="20"/>
  <c r="L209" i="20" s="1"/>
  <c r="S46" i="18"/>
  <c r="S47" i="18"/>
  <c r="S45" i="18"/>
  <c r="S49" i="18"/>
  <c r="R42" i="18"/>
  <c r="AH55" i="18"/>
  <c r="U47" i="18"/>
  <c r="U45" i="18"/>
  <c r="U49" i="18"/>
  <c r="U48" i="18"/>
  <c r="AK12" i="17"/>
  <c r="M235" i="21" l="1"/>
  <c r="E12" i="21"/>
  <c r="F12" i="21" s="1"/>
  <c r="F123" i="20"/>
  <c r="N162" i="20"/>
  <c r="O228" i="20" s="1"/>
  <c r="L127" i="21"/>
  <c r="L247" i="21" s="1"/>
  <c r="M247" i="21"/>
  <c r="I264" i="21"/>
  <c r="M191" i="21"/>
  <c r="I259" i="21"/>
  <c r="M186" i="21"/>
  <c r="I255" i="21"/>
  <c r="M182" i="21"/>
  <c r="I261" i="21"/>
  <c r="M188" i="21"/>
  <c r="M184" i="21"/>
  <c r="I260" i="21"/>
  <c r="M187" i="21"/>
  <c r="M256" i="21"/>
  <c r="L183" i="21"/>
  <c r="L256" i="21" s="1"/>
  <c r="I258" i="21"/>
  <c r="M185" i="21"/>
  <c r="I262" i="21"/>
  <c r="M189" i="21"/>
  <c r="D139" i="20"/>
  <c r="L104" i="21"/>
  <c r="L236" i="21" s="1"/>
  <c r="M119" i="21"/>
  <c r="L119" i="21" s="1"/>
  <c r="L244" i="21" s="1"/>
  <c r="O109" i="20"/>
  <c r="P209" i="20" s="1"/>
  <c r="Y106" i="19"/>
  <c r="AA105" i="19"/>
  <c r="S106" i="19"/>
  <c r="U105" i="19"/>
  <c r="M284" i="21"/>
  <c r="N284" i="21" s="1"/>
  <c r="I321" i="21" s="1"/>
  <c r="L118" i="21"/>
  <c r="L243" i="21" s="1"/>
  <c r="M243" i="21"/>
  <c r="M114" i="21"/>
  <c r="AD168" i="21"/>
  <c r="AD169" i="21" s="1"/>
  <c r="AD172" i="21" s="1"/>
  <c r="AD176" i="21" s="1"/>
  <c r="AD177" i="21" s="1"/>
  <c r="E10" i="21"/>
  <c r="L176" i="21"/>
  <c r="M227" i="21"/>
  <c r="L85" i="21"/>
  <c r="L227" i="21" s="1"/>
  <c r="D238" i="21"/>
  <c r="L113" i="21"/>
  <c r="L238" i="21" s="1"/>
  <c r="L116" i="21"/>
  <c r="L241" i="21" s="1"/>
  <c r="M241" i="21"/>
  <c r="L117" i="21"/>
  <c r="L242" i="21" s="1"/>
  <c r="M242" i="21"/>
  <c r="L98" i="21"/>
  <c r="L230" i="21" s="1"/>
  <c r="M230" i="21"/>
  <c r="M120" i="21"/>
  <c r="L115" i="21"/>
  <c r="L240" i="21" s="1"/>
  <c r="M240" i="21"/>
  <c r="M304" i="21" s="1"/>
  <c r="N304" i="21" s="1"/>
  <c r="K321" i="21" s="1"/>
  <c r="M91" i="21"/>
  <c r="E9" i="21"/>
  <c r="L136" i="21"/>
  <c r="T46" i="18"/>
  <c r="N161" i="20"/>
  <c r="O227" i="20" s="1"/>
  <c r="P227" i="20"/>
  <c r="K123" i="20"/>
  <c r="L210" i="20" s="1"/>
  <c r="F210" i="20"/>
  <c r="D211" i="20"/>
  <c r="F124" i="20"/>
  <c r="D220" i="20"/>
  <c r="F133" i="20"/>
  <c r="F135" i="20"/>
  <c r="D222" i="20"/>
  <c r="O93" i="20"/>
  <c r="F131" i="20"/>
  <c r="D218" i="20"/>
  <c r="F134" i="20"/>
  <c r="D221" i="20"/>
  <c r="U247" i="20"/>
  <c r="U259" i="20"/>
  <c r="F132" i="20"/>
  <c r="D219" i="20"/>
  <c r="F129" i="20"/>
  <c r="D216" i="20"/>
  <c r="O169" i="20"/>
  <c r="F128" i="20"/>
  <c r="D215" i="20"/>
  <c r="O108" i="20"/>
  <c r="D214" i="20"/>
  <c r="F127" i="20"/>
  <c r="F125" i="20"/>
  <c r="D212" i="20"/>
  <c r="D217" i="20"/>
  <c r="F130" i="20"/>
  <c r="F9" i="20"/>
  <c r="N154" i="20"/>
  <c r="E267" i="20"/>
  <c r="K267" i="20"/>
  <c r="F223" i="20"/>
  <c r="K136" i="20"/>
  <c r="L223" i="20" s="1"/>
  <c r="D213" i="20"/>
  <c r="F126" i="20"/>
  <c r="R49" i="18"/>
  <c r="R47" i="18"/>
  <c r="R46" i="18"/>
  <c r="R48" i="18"/>
  <c r="R45" i="18"/>
  <c r="T45" i="18"/>
  <c r="R52" i="19" s="1" a="1"/>
  <c r="T48" i="18"/>
  <c r="T49" i="18"/>
  <c r="T47" i="18"/>
  <c r="G12" i="21" l="1"/>
  <c r="N109" i="20"/>
  <c r="O209" i="20" s="1"/>
  <c r="L187" i="21"/>
  <c r="L260" i="21" s="1"/>
  <c r="M260" i="21"/>
  <c r="M257" i="21"/>
  <c r="L184" i="21"/>
  <c r="L257" i="21" s="1"/>
  <c r="L188" i="21"/>
  <c r="L261" i="21" s="1"/>
  <c r="M261" i="21"/>
  <c r="M255" i="21"/>
  <c r="L182" i="21"/>
  <c r="L255" i="21" s="1"/>
  <c r="M190" i="21"/>
  <c r="M192" i="21" s="1"/>
  <c r="M262" i="21"/>
  <c r="L189" i="21"/>
  <c r="L262" i="21" s="1"/>
  <c r="L186" i="21"/>
  <c r="L259" i="21" s="1"/>
  <c r="M259" i="21"/>
  <c r="L185" i="21"/>
  <c r="L258" i="21" s="1"/>
  <c r="M258" i="21"/>
  <c r="M264" i="21"/>
  <c r="L191" i="21"/>
  <c r="L264" i="21" s="1"/>
  <c r="M278" i="21"/>
  <c r="N278" i="21" s="1"/>
  <c r="I318" i="21" s="1"/>
  <c r="M244" i="21"/>
  <c r="R52" i="19"/>
  <c r="V52" i="19"/>
  <c r="U52" i="19"/>
  <c r="T52" i="19"/>
  <c r="S52" i="19"/>
  <c r="O123" i="20"/>
  <c r="N123" i="20" s="1"/>
  <c r="O210" i="20" s="1"/>
  <c r="AA106" i="19"/>
  <c r="Y107" i="19"/>
  <c r="AA107" i="19" s="1"/>
  <c r="U106" i="19"/>
  <c r="S107" i="19"/>
  <c r="F9" i="21"/>
  <c r="G9" i="21"/>
  <c r="M239" i="21"/>
  <c r="L114" i="21"/>
  <c r="L239" i="21" s="1"/>
  <c r="M122" i="21"/>
  <c r="AF83" i="21"/>
  <c r="AF84" i="21" s="1"/>
  <c r="AF87" i="21" s="1"/>
  <c r="AF91" i="21" s="1"/>
  <c r="AF92" i="21" s="1"/>
  <c r="E6" i="21"/>
  <c r="L91" i="21"/>
  <c r="M97" i="21"/>
  <c r="L120" i="21"/>
  <c r="L245" i="21" s="1"/>
  <c r="M245" i="21"/>
  <c r="F10" i="21"/>
  <c r="G10" i="21"/>
  <c r="F222" i="20"/>
  <c r="K135" i="20"/>
  <c r="L222" i="20" s="1"/>
  <c r="O135" i="20"/>
  <c r="F211" i="20"/>
  <c r="K124" i="20"/>
  <c r="L211" i="20" s="1"/>
  <c r="K126" i="20"/>
  <c r="L213" i="20" s="1"/>
  <c r="F213" i="20"/>
  <c r="O126" i="20"/>
  <c r="F214" i="20"/>
  <c r="K127" i="20"/>
  <c r="L214" i="20" s="1"/>
  <c r="O127" i="20"/>
  <c r="F221" i="20"/>
  <c r="K134" i="20"/>
  <c r="L221" i="20" s="1"/>
  <c r="O134" i="20"/>
  <c r="O117" i="20"/>
  <c r="P208" i="20"/>
  <c r="N108" i="20"/>
  <c r="O208" i="20" s="1"/>
  <c r="G9" i="20"/>
  <c r="H9" i="20"/>
  <c r="F216" i="20"/>
  <c r="K129" i="20"/>
  <c r="L216" i="20" s="1"/>
  <c r="T251" i="20"/>
  <c r="U251" i="20"/>
  <c r="P251" i="20"/>
  <c r="M267" i="20" s="1"/>
  <c r="O130" i="20"/>
  <c r="F217" i="20"/>
  <c r="K132" i="20"/>
  <c r="L219" i="20" s="1"/>
  <c r="F219" i="20"/>
  <c r="O132" i="20"/>
  <c r="O133" i="20"/>
  <c r="F220" i="20"/>
  <c r="K133" i="20"/>
  <c r="L220" i="20" s="1"/>
  <c r="F212" i="20"/>
  <c r="O125" i="20"/>
  <c r="O136" i="20"/>
  <c r="F218" i="20"/>
  <c r="K131" i="20"/>
  <c r="L218" i="20" s="1"/>
  <c r="O131" i="20"/>
  <c r="F215" i="20"/>
  <c r="K128" i="20"/>
  <c r="L215" i="20" s="1"/>
  <c r="O128" i="20"/>
  <c r="N93" i="20"/>
  <c r="O207" i="20" s="1"/>
  <c r="P207" i="20"/>
  <c r="O102" i="20"/>
  <c r="F10" i="20"/>
  <c r="N169" i="20"/>
  <c r="X3" i="17"/>
  <c r="W3" i="17"/>
  <c r="R11" i="17"/>
  <c r="S11" i="17"/>
  <c r="U11" i="17"/>
  <c r="Q12" i="17"/>
  <c r="R12" i="17"/>
  <c r="S12" i="17"/>
  <c r="U12" i="17"/>
  <c r="R13" i="17"/>
  <c r="S13" i="17"/>
  <c r="U13" i="17"/>
  <c r="R10" i="17"/>
  <c r="S10" i="17"/>
  <c r="U10" i="17"/>
  <c r="V3" i="17"/>
  <c r="T3" i="17"/>
  <c r="R5" i="17"/>
  <c r="AB5" i="17" s="1"/>
  <c r="S5" i="17"/>
  <c r="AC5" i="17" s="1"/>
  <c r="T5" i="17"/>
  <c r="AD5" i="17" s="1"/>
  <c r="U5" i="17"/>
  <c r="AE5" i="17" s="1"/>
  <c r="V5" i="17"/>
  <c r="AF5" i="17" s="1"/>
  <c r="W5" i="17"/>
  <c r="AG5" i="17" s="1"/>
  <c r="X5" i="17"/>
  <c r="AH5" i="17" s="1"/>
  <c r="Q5" i="17"/>
  <c r="AA5" i="17" s="1"/>
  <c r="C11" i="17"/>
  <c r="AS11" i="17" s="1" a="1"/>
  <c r="AS11" i="17" s="1"/>
  <c r="AT11" i="17" s="1"/>
  <c r="AU11" i="17" s="1"/>
  <c r="C10" i="17"/>
  <c r="AS10" i="17" s="1" a="1"/>
  <c r="AS10" i="17" s="1"/>
  <c r="AT10" i="17" s="1"/>
  <c r="AU10" i="17" s="1"/>
  <c r="C13" i="17"/>
  <c r="AS13" i="17" s="1" a="1"/>
  <c r="AS13" i="17" s="1"/>
  <c r="AT13" i="17" s="1"/>
  <c r="AU13" i="17" s="1"/>
  <c r="M298" i="21" l="1"/>
  <c r="N298" i="21" s="1"/>
  <c r="K318" i="21" s="1"/>
  <c r="M277" i="21"/>
  <c r="N277" i="21" s="1"/>
  <c r="I317" i="21" s="1"/>
  <c r="M297" i="21"/>
  <c r="N297" i="21" s="1"/>
  <c r="K317" i="21" s="1"/>
  <c r="L192" i="21"/>
  <c r="E11" i="21"/>
  <c r="F11" i="21" s="1"/>
  <c r="L190" i="21"/>
  <c r="L263" i="21" s="1"/>
  <c r="M263" i="21"/>
  <c r="M302" i="21"/>
  <c r="N302" i="21" s="1"/>
  <c r="K320" i="21" s="1"/>
  <c r="M282" i="21"/>
  <c r="N282" i="21" s="1"/>
  <c r="I320" i="21" s="1"/>
  <c r="M299" i="21"/>
  <c r="N299" i="21" s="1"/>
  <c r="K319" i="21" s="1"/>
  <c r="M279" i="21"/>
  <c r="N279" i="21" s="1"/>
  <c r="I319" i="21" s="1"/>
  <c r="P210" i="20"/>
  <c r="U240" i="20" s="1"/>
  <c r="O124" i="20"/>
  <c r="P211" i="20" s="1"/>
  <c r="U107" i="19"/>
  <c r="S108" i="19"/>
  <c r="Q13" i="17"/>
  <c r="Q10" i="17"/>
  <c r="Q11" i="17"/>
  <c r="M106" i="21"/>
  <c r="M229" i="21"/>
  <c r="L97" i="21"/>
  <c r="L229" i="21" s="1"/>
  <c r="L122" i="21"/>
  <c r="E8" i="21"/>
  <c r="F6" i="21"/>
  <c r="G6" i="21"/>
  <c r="N128" i="20"/>
  <c r="O215" i="20" s="1"/>
  <c r="P215" i="20"/>
  <c r="P214" i="20"/>
  <c r="N127" i="20"/>
  <c r="O214" i="20" s="1"/>
  <c r="N133" i="20"/>
  <c r="O220" i="20" s="1"/>
  <c r="P220" i="20"/>
  <c r="N132" i="20"/>
  <c r="O219" i="20" s="1"/>
  <c r="P219" i="20"/>
  <c r="N131" i="20"/>
  <c r="O218" i="20" s="1"/>
  <c r="P218" i="20"/>
  <c r="F7" i="20"/>
  <c r="N117" i="20"/>
  <c r="G10" i="20"/>
  <c r="H10" i="20"/>
  <c r="N126" i="20"/>
  <c r="O213" i="20" s="1"/>
  <c r="P213" i="20"/>
  <c r="N130" i="20"/>
  <c r="O217" i="20" s="1"/>
  <c r="P217" i="20"/>
  <c r="N136" i="20"/>
  <c r="O223" i="20" s="1"/>
  <c r="P223" i="20"/>
  <c r="P238" i="20" s="1"/>
  <c r="N125" i="20"/>
  <c r="O212" i="20" s="1"/>
  <c r="P212" i="20"/>
  <c r="N134" i="20"/>
  <c r="O221" i="20" s="1"/>
  <c r="P221" i="20"/>
  <c r="N135" i="20"/>
  <c r="O222" i="20" s="1"/>
  <c r="P222" i="20"/>
  <c r="F6" i="20"/>
  <c r="N102" i="20"/>
  <c r="O129" i="20"/>
  <c r="T10" i="17"/>
  <c r="T15" i="17"/>
  <c r="T17" i="17"/>
  <c r="T16" i="17"/>
  <c r="V11" i="17"/>
  <c r="V16" i="17"/>
  <c r="V17" i="17"/>
  <c r="V15" i="17"/>
  <c r="W11" i="17"/>
  <c r="W15" i="17"/>
  <c r="W16" i="17"/>
  <c r="W17" i="17"/>
  <c r="X12" i="17"/>
  <c r="X16" i="17"/>
  <c r="X15" i="17"/>
  <c r="X17" i="17"/>
  <c r="W13" i="17"/>
  <c r="W12" i="17"/>
  <c r="X11" i="17"/>
  <c r="V10" i="17"/>
  <c r="X13" i="17"/>
  <c r="V12" i="17"/>
  <c r="V13" i="17"/>
  <c r="T11" i="17"/>
  <c r="T12" i="17"/>
  <c r="X10" i="17"/>
  <c r="T13" i="17"/>
  <c r="W10" i="17"/>
  <c r="T31" i="17"/>
  <c r="S31" i="17"/>
  <c r="R31" i="17"/>
  <c r="T32" i="17"/>
  <c r="S32" i="17"/>
  <c r="R32" i="17"/>
  <c r="AW3" i="13"/>
  <c r="AR1" i="13"/>
  <c r="AT16" i="13" s="1"/>
  <c r="AR24" i="13"/>
  <c r="AR23" i="13"/>
  <c r="AR22" i="13"/>
  <c r="AR21" i="13"/>
  <c r="AR20" i="13"/>
  <c r="AR19" i="13"/>
  <c r="AR18" i="13"/>
  <c r="AR17" i="13"/>
  <c r="AR16" i="13"/>
  <c r="AR15" i="13"/>
  <c r="AR14" i="13"/>
  <c r="AR13" i="13"/>
  <c r="AR12" i="13"/>
  <c r="AR11" i="13"/>
  <c r="AR10" i="13"/>
  <c r="AR9" i="13"/>
  <c r="AR8" i="13"/>
  <c r="AR7" i="13"/>
  <c r="AR6" i="13"/>
  <c r="AO3" i="13"/>
  <c r="AJ1" i="13"/>
  <c r="AL16" i="13" s="1"/>
  <c r="AG3" i="13"/>
  <c r="AJ24" i="13"/>
  <c r="AJ23" i="13"/>
  <c r="AJ22" i="13"/>
  <c r="AJ21" i="13"/>
  <c r="AJ20" i="13"/>
  <c r="AJ19" i="13"/>
  <c r="AJ18" i="13"/>
  <c r="AJ17" i="13"/>
  <c r="AJ16" i="13"/>
  <c r="AJ15" i="13"/>
  <c r="AJ14" i="13"/>
  <c r="AJ13" i="13"/>
  <c r="AJ12" i="13"/>
  <c r="AJ11" i="13"/>
  <c r="AJ10" i="13"/>
  <c r="AJ9" i="13"/>
  <c r="AJ8" i="13"/>
  <c r="AJ7" i="13"/>
  <c r="AJ6" i="13"/>
  <c r="AB1" i="13"/>
  <c r="AD12" i="13" s="1"/>
  <c r="AB24" i="13"/>
  <c r="AB23" i="13"/>
  <c r="AB22" i="13"/>
  <c r="AB21" i="13"/>
  <c r="AB20" i="13"/>
  <c r="AB19" i="13"/>
  <c r="AB18" i="13"/>
  <c r="AB17" i="13"/>
  <c r="AB16" i="13"/>
  <c r="AB15" i="13"/>
  <c r="AB14" i="13"/>
  <c r="AB13" i="13"/>
  <c r="AB12" i="13"/>
  <c r="AB11" i="13"/>
  <c r="AB10" i="13"/>
  <c r="AB9" i="13"/>
  <c r="AB8" i="13"/>
  <c r="AB7" i="13"/>
  <c r="AB6" i="13"/>
  <c r="T7" i="13"/>
  <c r="T8" i="13"/>
  <c r="T9" i="13"/>
  <c r="T10" i="13"/>
  <c r="T11" i="13"/>
  <c r="T12" i="13"/>
  <c r="T13" i="13"/>
  <c r="T14" i="13"/>
  <c r="T15" i="13"/>
  <c r="T16" i="13"/>
  <c r="T17" i="13"/>
  <c r="T18" i="13"/>
  <c r="Y3" i="13"/>
  <c r="T19" i="13"/>
  <c r="T20" i="13"/>
  <c r="T21" i="13"/>
  <c r="T22" i="13"/>
  <c r="T23" i="13"/>
  <c r="T24" i="13"/>
  <c r="T6" i="13"/>
  <c r="T1" i="13"/>
  <c r="V8" i="13" s="1"/>
  <c r="Y55" i="13"/>
  <c r="W58" i="13"/>
  <c r="Y58" i="13" s="1"/>
  <c r="W57" i="13"/>
  <c r="Y57" i="13" s="1"/>
  <c r="W56" i="13"/>
  <c r="Y56" i="13" s="1"/>
  <c r="W55" i="13"/>
  <c r="W54" i="13"/>
  <c r="Y54" i="13" s="1"/>
  <c r="W53" i="13"/>
  <c r="Y53" i="13" s="1"/>
  <c r="W52" i="13"/>
  <c r="W51" i="13"/>
  <c r="Y51" i="13" s="1"/>
  <c r="W50" i="13"/>
  <c r="Y50" i="13" s="1"/>
  <c r="W49" i="13"/>
  <c r="W48" i="13"/>
  <c r="Y48" i="13" s="1"/>
  <c r="W47" i="13"/>
  <c r="Y47" i="13" s="1"/>
  <c r="W46" i="13"/>
  <c r="Y46" i="13" s="1"/>
  <c r="T240" i="20" l="1"/>
  <c r="P252" i="20"/>
  <c r="M268" i="20" s="1"/>
  <c r="T252" i="20"/>
  <c r="U252" i="20"/>
  <c r="G11" i="21"/>
  <c r="I322" i="21"/>
  <c r="J317" i="21" s="1"/>
  <c r="J328" i="21" s="1"/>
  <c r="U250" i="20"/>
  <c r="P240" i="20"/>
  <c r="E268" i="20" s="1"/>
  <c r="K322" i="21"/>
  <c r="L317" i="21" s="1"/>
  <c r="L328" i="21" s="1"/>
  <c r="N124" i="20"/>
  <c r="O211" i="20" s="1"/>
  <c r="J319" i="21"/>
  <c r="J320" i="21"/>
  <c r="J327" i="21" s="1"/>
  <c r="T250" i="20"/>
  <c r="P250" i="20"/>
  <c r="U108" i="19"/>
  <c r="S109" i="19"/>
  <c r="U109" i="19" s="1"/>
  <c r="E14" i="21"/>
  <c r="F8" i="21"/>
  <c r="G8" i="21"/>
  <c r="L106" i="21"/>
  <c r="E7" i="21"/>
  <c r="T238" i="20"/>
  <c r="U238" i="20"/>
  <c r="P243" i="20"/>
  <c r="K266" i="20" s="1"/>
  <c r="P255" i="20"/>
  <c r="E266" i="20"/>
  <c r="N129" i="20"/>
  <c r="O216" i="20" s="1"/>
  <c r="P216" i="20"/>
  <c r="U241" i="20" s="1"/>
  <c r="T242" i="20"/>
  <c r="P254" i="20"/>
  <c r="U242" i="20"/>
  <c r="T254" i="20"/>
  <c r="P242" i="20"/>
  <c r="U254" i="20"/>
  <c r="T259" i="20"/>
  <c r="P247" i="20"/>
  <c r="E276" i="20" s="1"/>
  <c r="T247" i="20"/>
  <c r="P259" i="20"/>
  <c r="O139" i="20"/>
  <c r="G6" i="20"/>
  <c r="H6" i="20"/>
  <c r="G7" i="20"/>
  <c r="H7" i="20"/>
  <c r="T246" i="20"/>
  <c r="T258" i="20"/>
  <c r="P258" i="20"/>
  <c r="P246" i="20"/>
  <c r="E275" i="20" s="1"/>
  <c r="V23" i="13"/>
  <c r="V3" i="13"/>
  <c r="V10" i="13"/>
  <c r="V7" i="13"/>
  <c r="V18" i="13"/>
  <c r="V22" i="13"/>
  <c r="V9" i="13"/>
  <c r="V16" i="13"/>
  <c r="V17" i="13"/>
  <c r="V13" i="13"/>
  <c r="V21" i="13"/>
  <c r="V20" i="13"/>
  <c r="V6" i="13"/>
  <c r="V14" i="13"/>
  <c r="V19" i="13"/>
  <c r="V12" i="13"/>
  <c r="V24" i="13"/>
  <c r="V11" i="13"/>
  <c r="V15" i="13"/>
  <c r="AI10" i="17"/>
  <c r="AD10" i="17" s="1"/>
  <c r="AI16" i="17"/>
  <c r="AF16" i="17" s="1"/>
  <c r="AI17" i="17"/>
  <c r="AI15" i="17"/>
  <c r="AH15" i="17" s="1"/>
  <c r="AI11" i="17"/>
  <c r="AF11" i="17" s="1"/>
  <c r="AI13" i="17"/>
  <c r="AD13" i="17" s="1"/>
  <c r="AT23" i="13"/>
  <c r="AT6" i="13"/>
  <c r="AT10" i="13"/>
  <c r="AT12" i="13"/>
  <c r="AT17" i="13"/>
  <c r="AT20" i="13"/>
  <c r="AT24" i="13"/>
  <c r="AT7" i="13"/>
  <c r="AT11" i="13"/>
  <c r="AT13" i="13"/>
  <c r="AT14" i="13"/>
  <c r="AT18" i="13"/>
  <c r="AT21" i="13"/>
  <c r="AT8" i="13"/>
  <c r="AT15" i="13"/>
  <c r="AT22" i="13"/>
  <c r="AT19" i="13"/>
  <c r="AT3" i="13"/>
  <c r="AT9" i="13"/>
  <c r="AL23" i="13"/>
  <c r="AL10" i="13"/>
  <c r="AL20" i="13"/>
  <c r="AL7" i="13"/>
  <c r="AL11" i="13"/>
  <c r="AL13" i="13"/>
  <c r="AL14" i="13"/>
  <c r="AL18" i="13"/>
  <c r="AL21" i="13"/>
  <c r="AL3" i="13"/>
  <c r="AL8" i="13"/>
  <c r="AL15" i="13"/>
  <c r="AL22" i="13"/>
  <c r="AL6" i="13"/>
  <c r="AL12" i="13"/>
  <c r="AL17" i="13"/>
  <c r="AL24" i="13"/>
  <c r="AL19" i="13"/>
  <c r="AL9" i="13"/>
  <c r="AD23" i="13"/>
  <c r="AD6" i="13"/>
  <c r="AD10" i="13"/>
  <c r="AD17" i="13"/>
  <c r="AD20" i="13"/>
  <c r="AD24" i="13"/>
  <c r="AD7" i="13"/>
  <c r="AD11" i="13"/>
  <c r="AD13" i="13"/>
  <c r="AD14" i="13"/>
  <c r="AD18" i="13"/>
  <c r="AD21" i="13"/>
  <c r="AD8" i="13"/>
  <c r="AD15" i="13"/>
  <c r="AD19" i="13"/>
  <c r="AD3" i="13"/>
  <c r="AD22" i="13"/>
  <c r="AD9" i="13"/>
  <c r="AD16" i="13"/>
  <c r="K268" i="20" l="1"/>
  <c r="J318" i="21"/>
  <c r="J326" i="21" s="1"/>
  <c r="J321" i="21"/>
  <c r="J325" i="21" s="1"/>
  <c r="J324" i="21"/>
  <c r="L318" i="21"/>
  <c r="L326" i="21" s="1"/>
  <c r="M266" i="20"/>
  <c r="L324" i="21"/>
  <c r="L320" i="21"/>
  <c r="L327" i="21" s="1"/>
  <c r="L321" i="21"/>
  <c r="L325" i="21" s="1"/>
  <c r="L319" i="21"/>
  <c r="U253" i="20"/>
  <c r="R57" i="19" a="1"/>
  <c r="E272" i="20"/>
  <c r="AK11" i="17"/>
  <c r="AG11" i="17"/>
  <c r="AC11" i="17"/>
  <c r="AB11" i="17"/>
  <c r="E13" i="21"/>
  <c r="F7" i="21"/>
  <c r="G7" i="21"/>
  <c r="F14" i="21"/>
  <c r="G14" i="21"/>
  <c r="F8" i="20"/>
  <c r="N139" i="20"/>
  <c r="T253" i="20"/>
  <c r="P241" i="20"/>
  <c r="P253" i="20"/>
  <c r="T241" i="20"/>
  <c r="K269" i="20"/>
  <c r="E270" i="20"/>
  <c r="M269" i="20"/>
  <c r="AH11" i="17"/>
  <c r="AD15" i="17"/>
  <c r="AH10" i="17"/>
  <c r="AB10" i="17"/>
  <c r="AA11" i="17"/>
  <c r="AB17" i="17"/>
  <c r="AC17" i="17"/>
  <c r="AE17" i="17"/>
  <c r="AA17" i="17"/>
  <c r="AD17" i="17"/>
  <c r="AD16" i="17"/>
  <c r="AH17" i="17"/>
  <c r="AF10" i="17"/>
  <c r="AB16" i="17"/>
  <c r="AC16" i="17"/>
  <c r="AE16" i="17"/>
  <c r="AA16" i="17"/>
  <c r="AG16" i="17"/>
  <c r="AE10" i="17"/>
  <c r="AF17" i="17"/>
  <c r="AK10" i="17"/>
  <c r="AA10" i="17"/>
  <c r="AC10" i="17"/>
  <c r="AG10" i="17"/>
  <c r="AG15" i="17"/>
  <c r="AE15" i="17"/>
  <c r="AA15" i="17"/>
  <c r="AB15" i="17"/>
  <c r="AC15" i="17"/>
  <c r="AF15" i="17"/>
  <c r="AD11" i="17"/>
  <c r="AH16" i="17"/>
  <c r="AG17" i="17"/>
  <c r="AE11" i="17"/>
  <c r="AK13" i="17"/>
  <c r="AC13" i="17"/>
  <c r="AG13" i="17"/>
  <c r="AA13" i="17"/>
  <c r="AB13" i="17"/>
  <c r="AE13" i="17"/>
  <c r="AH13" i="17"/>
  <c r="AF13" i="17"/>
  <c r="R58" i="19" l="1" a="1"/>
  <c r="S58" i="19" s="1"/>
  <c r="S57" i="19"/>
  <c r="U57" i="19"/>
  <c r="V57" i="19"/>
  <c r="T57" i="19"/>
  <c r="R57" i="19"/>
  <c r="F13" i="21"/>
  <c r="G13" i="21"/>
  <c r="M270" i="20"/>
  <c r="M271" i="20" s="1"/>
  <c r="P260" i="20"/>
  <c r="E269" i="20"/>
  <c r="K270" i="20"/>
  <c r="P248" i="20"/>
  <c r="G8" i="20"/>
  <c r="H8" i="20"/>
  <c r="F12" i="20"/>
  <c r="F11" i="20"/>
  <c r="B35" i="13"/>
  <c r="T58" i="19" l="1"/>
  <c r="T60" i="19" s="1"/>
  <c r="T14" i="19" s="1"/>
  <c r="V58" i="19"/>
  <c r="V60" i="19" s="1"/>
  <c r="V14" i="19" s="1"/>
  <c r="R58" i="19"/>
  <c r="U58" i="19"/>
  <c r="U60" i="19" s="1"/>
  <c r="U14" i="19" s="1"/>
  <c r="R60" i="19"/>
  <c r="S60" i="19"/>
  <c r="S14" i="19" s="1"/>
  <c r="N267" i="20"/>
  <c r="N268" i="20"/>
  <c r="N277" i="20" s="1"/>
  <c r="N266" i="20"/>
  <c r="N276" i="20" s="1"/>
  <c r="N269" i="20"/>
  <c r="N274" i="20" s="1"/>
  <c r="G11" i="20"/>
  <c r="H11" i="20"/>
  <c r="G12" i="20"/>
  <c r="H12" i="20"/>
  <c r="E277" i="20"/>
  <c r="F269" i="20" s="1"/>
  <c r="Q264" i="20"/>
  <c r="Q262" i="20"/>
  <c r="Q261" i="20"/>
  <c r="Q263" i="20"/>
  <c r="N270" i="20"/>
  <c r="N275" i="20" s="1"/>
  <c r="K271" i="20"/>
  <c r="L270" i="20" s="1"/>
  <c r="L275" i="20" s="1"/>
  <c r="M1" i="16"/>
  <c r="G5" i="16"/>
  <c r="G6" i="16" s="1"/>
  <c r="G10" i="16"/>
  <c r="G11" i="16" s="1"/>
  <c r="G15" i="16"/>
  <c r="H18" i="16"/>
  <c r="I19" i="16"/>
  <c r="G36" i="16"/>
  <c r="G45" i="16" s="1"/>
  <c r="G39" i="16"/>
  <c r="G40" i="16"/>
  <c r="G41" i="16" s="1"/>
  <c r="G47" i="16" s="1"/>
  <c r="G46" i="16"/>
  <c r="J57" i="16"/>
  <c r="I58" i="16"/>
  <c r="J58" i="16" s="1"/>
  <c r="K58" i="16"/>
  <c r="L58" i="16" s="1"/>
  <c r="I59" i="16"/>
  <c r="J59" i="16" s="1"/>
  <c r="K59" i="16"/>
  <c r="L59" i="16" s="1"/>
  <c r="I60" i="16"/>
  <c r="J60" i="16" s="1"/>
  <c r="K60" i="16"/>
  <c r="L60" i="16" s="1"/>
  <c r="I61" i="16"/>
  <c r="J61" i="16" s="1"/>
  <c r="K61" i="16"/>
  <c r="L61" i="16" s="1"/>
  <c r="I62" i="16"/>
  <c r="J62" i="16" s="1"/>
  <c r="K62" i="16"/>
  <c r="L62" i="16" s="1"/>
  <c r="I63" i="16"/>
  <c r="J63" i="16" s="1"/>
  <c r="K63" i="16"/>
  <c r="L63" i="16" s="1"/>
  <c r="I64" i="16"/>
  <c r="J64" i="16" s="1"/>
  <c r="K64" i="16"/>
  <c r="L64" i="16" s="1"/>
  <c r="I65" i="16"/>
  <c r="J65" i="16" s="1"/>
  <c r="K65" i="16"/>
  <c r="L65" i="16" s="1"/>
  <c r="I66" i="16"/>
  <c r="J66" i="16" s="1"/>
  <c r="K66" i="16"/>
  <c r="L66" i="16" s="1"/>
  <c r="I67" i="16"/>
  <c r="J67" i="16" s="1"/>
  <c r="K67" i="16"/>
  <c r="L67" i="16" s="1"/>
  <c r="I68" i="16"/>
  <c r="J68" i="16" s="1"/>
  <c r="K68" i="16"/>
  <c r="L68" i="16" s="1"/>
  <c r="I69" i="16"/>
  <c r="J69" i="16" s="1"/>
  <c r="K69" i="16"/>
  <c r="L69" i="16" s="1"/>
  <c r="I70" i="16"/>
  <c r="J70" i="16" s="1"/>
  <c r="K70" i="16"/>
  <c r="L70" i="16" s="1"/>
  <c r="I71" i="16"/>
  <c r="J71" i="16" s="1"/>
  <c r="K71" i="16"/>
  <c r="L71" i="16" s="1"/>
  <c r="G77" i="16"/>
  <c r="K77" i="16"/>
  <c r="F82" i="16"/>
  <c r="M82" i="16" s="1"/>
  <c r="G82" i="16"/>
  <c r="H82" i="16" s="1"/>
  <c r="F83" i="16"/>
  <c r="G83" i="16"/>
  <c r="H83" i="16" s="1"/>
  <c r="F84" i="16"/>
  <c r="G84" i="16"/>
  <c r="H84" i="16" s="1"/>
  <c r="F85" i="16"/>
  <c r="M85" i="16" s="1"/>
  <c r="G85" i="16"/>
  <c r="H85" i="16" s="1"/>
  <c r="F86" i="16"/>
  <c r="M86" i="16" s="1"/>
  <c r="G86" i="16"/>
  <c r="H86" i="16" s="1"/>
  <c r="F87" i="16"/>
  <c r="M87" i="16" s="1"/>
  <c r="G87" i="16"/>
  <c r="H87" i="16" s="1"/>
  <c r="F88" i="16"/>
  <c r="G88" i="16"/>
  <c r="H88" i="16" s="1"/>
  <c r="F89" i="16"/>
  <c r="G89" i="16"/>
  <c r="H89" i="16" s="1"/>
  <c r="F90" i="16"/>
  <c r="M90" i="16" s="1"/>
  <c r="G90" i="16"/>
  <c r="H90" i="16" s="1"/>
  <c r="F91" i="16"/>
  <c r="M91" i="16" s="1"/>
  <c r="G91" i="16"/>
  <c r="H91" i="16" s="1"/>
  <c r="F92" i="16"/>
  <c r="M92" i="16" s="1"/>
  <c r="G92" i="16"/>
  <c r="H92" i="16" s="1"/>
  <c r="F93" i="16"/>
  <c r="M93" i="16" s="1"/>
  <c r="G93" i="16"/>
  <c r="H93" i="16" s="1"/>
  <c r="F94" i="16"/>
  <c r="M94" i="16" s="1"/>
  <c r="G94" i="16"/>
  <c r="H94" i="16" s="1"/>
  <c r="F95" i="16"/>
  <c r="G95" i="16"/>
  <c r="H95" i="16" s="1"/>
  <c r="F96" i="16"/>
  <c r="G96" i="16"/>
  <c r="H96" i="16" s="1"/>
  <c r="F97" i="16"/>
  <c r="M97" i="16" s="1"/>
  <c r="G97" i="16"/>
  <c r="H97" i="16" s="1"/>
  <c r="F98" i="16"/>
  <c r="M98" i="16" s="1"/>
  <c r="G98" i="16"/>
  <c r="H98" i="16" s="1"/>
  <c r="F99" i="16"/>
  <c r="M99" i="16" s="1"/>
  <c r="G99" i="16"/>
  <c r="H99" i="16" s="1"/>
  <c r="F100" i="16"/>
  <c r="M100" i="16" s="1"/>
  <c r="G100" i="16"/>
  <c r="H100" i="16" s="1"/>
  <c r="F101" i="16"/>
  <c r="G101" i="16"/>
  <c r="H101" i="16" s="1"/>
  <c r="F102" i="16"/>
  <c r="M102" i="16" s="1"/>
  <c r="G102" i="16"/>
  <c r="H102" i="16" s="1"/>
  <c r="F103" i="16"/>
  <c r="M103" i="16" s="1"/>
  <c r="G103" i="16"/>
  <c r="H103" i="16" s="1"/>
  <c r="S5" i="15"/>
  <c r="T5" i="15"/>
  <c r="U5" i="15"/>
  <c r="V5" i="15"/>
  <c r="W5" i="15"/>
  <c r="X5" i="15"/>
  <c r="Y5" i="15"/>
  <c r="Z5" i="15"/>
  <c r="AA5" i="15"/>
  <c r="AB5" i="15"/>
  <c r="N6" i="15"/>
  <c r="N7" i="15"/>
  <c r="N8" i="15"/>
  <c r="N9" i="15"/>
  <c r="D10" i="15"/>
  <c r="S7" i="15" s="1"/>
  <c r="E10" i="15"/>
  <c r="T9" i="15" s="1"/>
  <c r="F10" i="15"/>
  <c r="U9" i="15" s="1"/>
  <c r="G10" i="15"/>
  <c r="H10" i="15"/>
  <c r="I10" i="15"/>
  <c r="X7" i="15" s="1"/>
  <c r="J10" i="15"/>
  <c r="Y6" i="15" s="1"/>
  <c r="K10" i="15"/>
  <c r="L10" i="15"/>
  <c r="AA6" i="15" s="1"/>
  <c r="M10" i="15"/>
  <c r="AB6" i="15" s="1"/>
  <c r="H15" i="15"/>
  <c r="I15" i="15"/>
  <c r="H16" i="15"/>
  <c r="I16" i="15"/>
  <c r="H17" i="15"/>
  <c r="I17" i="15"/>
  <c r="H18" i="15"/>
  <c r="I18" i="15"/>
  <c r="D19" i="15"/>
  <c r="S15" i="15" s="1"/>
  <c r="E19" i="15"/>
  <c r="F19" i="15"/>
  <c r="U15" i="15" s="1"/>
  <c r="G19" i="15"/>
  <c r="V15" i="15" s="1"/>
  <c r="J19" i="15"/>
  <c r="Y18" i="15" s="1"/>
  <c r="K19" i="15"/>
  <c r="Z17" i="15" s="1"/>
  <c r="L19" i="15"/>
  <c r="AA16" i="15" s="1"/>
  <c r="M19" i="15"/>
  <c r="AB16" i="15" s="1"/>
  <c r="N19" i="15"/>
  <c r="AC16" i="15" s="1"/>
  <c r="Q28" i="15"/>
  <c r="S28" i="15"/>
  <c r="Q29" i="15"/>
  <c r="I1" i="13" s="1" a="1"/>
  <c r="K1" i="13" s="1"/>
  <c r="S29" i="15"/>
  <c r="G30" i="15"/>
  <c r="Q30" i="15"/>
  <c r="S30" i="15"/>
  <c r="G31" i="15"/>
  <c r="Q31" i="15"/>
  <c r="S31" i="15"/>
  <c r="F32" i="15"/>
  <c r="G28" i="15" s="1"/>
  <c r="V32" i="15"/>
  <c r="F42" i="15"/>
  <c r="G42" i="15"/>
  <c r="H42" i="15"/>
  <c r="I42" i="15"/>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I2" i="13"/>
  <c r="J2" i="13"/>
  <c r="K2" i="13"/>
  <c r="L2" i="13"/>
  <c r="G6" i="13"/>
  <c r="G7" i="13"/>
  <c r="G8" i="13"/>
  <c r="G9" i="13"/>
  <c r="H9" i="13" s="1"/>
  <c r="G10" i="13"/>
  <c r="G11" i="13"/>
  <c r="G12" i="13"/>
  <c r="G13" i="13"/>
  <c r="G14" i="13"/>
  <c r="G15" i="13"/>
  <c r="G16" i="13"/>
  <c r="G17" i="13"/>
  <c r="G18" i="13"/>
  <c r="M27" i="13"/>
  <c r="Z45" i="13"/>
  <c r="J46" i="13"/>
  <c r="N46" i="13"/>
  <c r="AB46" i="13"/>
  <c r="J47" i="13"/>
  <c r="K47" i="13"/>
  <c r="K48" i="13" s="1"/>
  <c r="N47" i="13"/>
  <c r="AB47" i="13"/>
  <c r="J48" i="13"/>
  <c r="N48" i="13"/>
  <c r="S48" i="13"/>
  <c r="S50" i="13" s="1"/>
  <c r="S52" i="13" s="1"/>
  <c r="S54" i="13" s="1"/>
  <c r="S56" i="13" s="1"/>
  <c r="S58" i="13" s="1"/>
  <c r="S60" i="13" s="1"/>
  <c r="S62" i="13" s="1"/>
  <c r="S64" i="13" s="1"/>
  <c r="S66" i="13" s="1"/>
  <c r="S68" i="13" s="1"/>
  <c r="S70" i="13" s="1"/>
  <c r="S72" i="13" s="1"/>
  <c r="S74" i="13" s="1"/>
  <c r="AB48" i="13"/>
  <c r="J49" i="13"/>
  <c r="L49" i="13" s="1"/>
  <c r="N49" i="13"/>
  <c r="P49" i="13" s="1"/>
  <c r="Q49" i="13" s="1"/>
  <c r="S49" i="13"/>
  <c r="S51" i="13" s="1"/>
  <c r="AB49" i="13"/>
  <c r="J50" i="13"/>
  <c r="K50" i="13"/>
  <c r="K51" i="13" s="1"/>
  <c r="M50" i="13"/>
  <c r="AB50" i="13"/>
  <c r="J51" i="13"/>
  <c r="AB51" i="13"/>
  <c r="J52" i="13"/>
  <c r="N52" i="13"/>
  <c r="O52" i="13" s="1"/>
  <c r="AB52" i="13"/>
  <c r="J53" i="13"/>
  <c r="L53" i="13" s="1"/>
  <c r="M53" i="13"/>
  <c r="M54" i="13" s="1"/>
  <c r="N54" i="13" s="1"/>
  <c r="AB53" i="13"/>
  <c r="J54" i="13"/>
  <c r="L54" i="13" s="1"/>
  <c r="AB54" i="13"/>
  <c r="AB55" i="13"/>
  <c r="AB56" i="13"/>
  <c r="AB57" i="13"/>
  <c r="AB58" i="13"/>
  <c r="Z61" i="13"/>
  <c r="AB61" i="13"/>
  <c r="AC61" i="13" s="1"/>
  <c r="J67" i="13" s="1"/>
  <c r="J68" i="13" s="1"/>
  <c r="Z68" i="13"/>
  <c r="Y69" i="13"/>
  <c r="Z70" i="13"/>
  <c r="Z71" i="13"/>
  <c r="X72" i="13"/>
  <c r="H84" i="13"/>
  <c r="H27" i="13" s="1"/>
  <c r="N96" i="13"/>
  <c r="I97" i="13"/>
  <c r="F99" i="13"/>
  <c r="F100" i="13" s="1"/>
  <c r="Y74" i="13" s="1"/>
  <c r="G99" i="13"/>
  <c r="M99" i="13"/>
  <c r="M100" i="13" s="1"/>
  <c r="H104" i="13"/>
  <c r="G19" i="13" s="1"/>
  <c r="F120" i="13"/>
  <c r="I122" i="13"/>
  <c r="F124" i="13"/>
  <c r="H124" i="13"/>
  <c r="F125" i="13"/>
  <c r="H125" i="13"/>
  <c r="G21" i="13" s="1"/>
  <c r="F126" i="13"/>
  <c r="H126" i="13"/>
  <c r="G22" i="13" s="1"/>
  <c r="R40" i="13" s="1"/>
  <c r="F127" i="13"/>
  <c r="H127" i="13"/>
  <c r="G23" i="13" s="1"/>
  <c r="R39" i="13" s="1"/>
  <c r="F128" i="13"/>
  <c r="H128" i="13"/>
  <c r="G24" i="13" s="1"/>
  <c r="N53" i="13" l="1"/>
  <c r="O53" i="13" s="1"/>
  <c r="I91" i="16"/>
  <c r="I85" i="16"/>
  <c r="X9" i="15"/>
  <c r="X8" i="15"/>
  <c r="I19" i="15"/>
  <c r="X15" i="15" s="1"/>
  <c r="X6" i="15"/>
  <c r="U6" i="15"/>
  <c r="Z16" i="15"/>
  <c r="S13" i="19"/>
  <c r="AR13" i="19" s="1" a="1"/>
  <c r="AR13" i="19" s="1"/>
  <c r="AS13" i="19" s="1"/>
  <c r="AT13" i="19" s="1"/>
  <c r="S15" i="19"/>
  <c r="AR15" i="19" s="1" a="1"/>
  <c r="AR15" i="19" s="1"/>
  <c r="AS15" i="19" s="1"/>
  <c r="AT15" i="19" s="1"/>
  <c r="AR14" i="19" a="1"/>
  <c r="AR14" i="19" s="1"/>
  <c r="AS14" i="19" s="1"/>
  <c r="AT14" i="19" s="1"/>
  <c r="BH14" i="19" a="1"/>
  <c r="BH14" i="19" s="1"/>
  <c r="BI14" i="19" s="1"/>
  <c r="BJ14" i="19" s="1"/>
  <c r="U15" i="19"/>
  <c r="BH15" i="19" s="1" a="1"/>
  <c r="BH15" i="19" s="1"/>
  <c r="BI15" i="19" s="1"/>
  <c r="BJ15" i="19" s="1"/>
  <c r="U13" i="19"/>
  <c r="BH13" i="19" s="1" a="1"/>
  <c r="BH13" i="19" s="1"/>
  <c r="BI13" i="19" s="1"/>
  <c r="BJ13" i="19" s="1"/>
  <c r="BP14" i="19" a="1"/>
  <c r="BP14" i="19" s="1"/>
  <c r="BQ14" i="19" s="1"/>
  <c r="BR14" i="19" s="1"/>
  <c r="V15" i="19"/>
  <c r="BP15" i="19" s="1" a="1"/>
  <c r="BP15" i="19" s="1"/>
  <c r="BQ15" i="19" s="1"/>
  <c r="BR15" i="19" s="1"/>
  <c r="V13" i="19"/>
  <c r="BP13" i="19" s="1" a="1"/>
  <c r="BP13" i="19" s="1"/>
  <c r="BQ13" i="19" s="1"/>
  <c r="BR13" i="19" s="1"/>
  <c r="AZ14" i="19" a="1"/>
  <c r="AZ14" i="19" s="1"/>
  <c r="BA14" i="19" s="1"/>
  <c r="BB14" i="19" s="1"/>
  <c r="T15" i="19"/>
  <c r="AZ15" i="19" s="1" a="1"/>
  <c r="AZ15" i="19" s="1"/>
  <c r="BA15" i="19" s="1"/>
  <c r="BB15" i="19" s="1"/>
  <c r="T13" i="19"/>
  <c r="AZ13" i="19" s="1" a="1"/>
  <c r="AZ13" i="19" s="1"/>
  <c r="BA13" i="19" s="1"/>
  <c r="BB13" i="19" s="1"/>
  <c r="R14" i="19"/>
  <c r="W60" i="19"/>
  <c r="L267" i="20"/>
  <c r="L266" i="20"/>
  <c r="L276" i="20" s="1"/>
  <c r="L268" i="20"/>
  <c r="L277" i="20" s="1"/>
  <c r="L269" i="20"/>
  <c r="L274" i="20" s="1"/>
  <c r="E278" i="20"/>
  <c r="F274" i="20"/>
  <c r="F273" i="20"/>
  <c r="F267" i="20"/>
  <c r="F272" i="20"/>
  <c r="F275" i="20"/>
  <c r="F268" i="20"/>
  <c r="F266" i="20"/>
  <c r="F276" i="20"/>
  <c r="F270" i="20"/>
  <c r="N273" i="20"/>
  <c r="R51" i="19" s="1" a="1"/>
  <c r="S18" i="15"/>
  <c r="S9" i="15"/>
  <c r="O18" i="15"/>
  <c r="AC17" i="15"/>
  <c r="U16" i="15"/>
  <c r="O48" i="13"/>
  <c r="G29" i="15"/>
  <c r="Y17" i="15"/>
  <c r="AC15" i="15"/>
  <c r="AC19" i="15" s="1"/>
  <c r="U8" i="15"/>
  <c r="S6" i="15"/>
  <c r="AA17" i="15"/>
  <c r="T6" i="15"/>
  <c r="V33" i="15"/>
  <c r="AB15" i="15"/>
  <c r="T8" i="15"/>
  <c r="O16" i="15"/>
  <c r="AC18" i="15"/>
  <c r="U17" i="15"/>
  <c r="U19" i="15" s="1"/>
  <c r="AA15" i="15"/>
  <c r="S8" i="15"/>
  <c r="AA18" i="15"/>
  <c r="O17" i="15"/>
  <c r="Y15" i="15"/>
  <c r="V18" i="15"/>
  <c r="U18" i="15"/>
  <c r="U7" i="15"/>
  <c r="T7" i="15"/>
  <c r="Y16" i="15"/>
  <c r="X18" i="15"/>
  <c r="V16" i="15"/>
  <c r="O49" i="13"/>
  <c r="L47" i="13"/>
  <c r="H105" i="13"/>
  <c r="L50" i="13"/>
  <c r="L63" i="13" s="1"/>
  <c r="Y75" i="13"/>
  <c r="I93" i="16"/>
  <c r="H86" i="13"/>
  <c r="H87" i="13" s="1"/>
  <c r="H89" i="13" s="1"/>
  <c r="L48" i="13"/>
  <c r="K64" i="13" s="1"/>
  <c r="L51" i="13"/>
  <c r="L64" i="13" s="1"/>
  <c r="I98" i="13"/>
  <c r="N98" i="13" s="1"/>
  <c r="J1" i="13"/>
  <c r="J57" i="13"/>
  <c r="I98" i="16"/>
  <c r="I97" i="16"/>
  <c r="I86" i="16"/>
  <c r="I103" i="16"/>
  <c r="I83" i="16"/>
  <c r="I95" i="16"/>
  <c r="I94" i="16"/>
  <c r="M95" i="16"/>
  <c r="M83" i="16"/>
  <c r="I100" i="16"/>
  <c r="I99" i="16"/>
  <c r="I87" i="16"/>
  <c r="G3" i="13"/>
  <c r="J56" i="13"/>
  <c r="L46" i="13"/>
  <c r="N50" i="13"/>
  <c r="M51" i="13"/>
  <c r="N51" i="13" s="1"/>
  <c r="G20" i="13"/>
  <c r="H130" i="13"/>
  <c r="I124" i="13" s="1"/>
  <c r="S53" i="13"/>
  <c r="S55" i="13" s="1"/>
  <c r="S57" i="13" s="1"/>
  <c r="S59" i="13" s="1"/>
  <c r="S61" i="13" s="1"/>
  <c r="S63" i="13" s="1"/>
  <c r="S65" i="13" s="1"/>
  <c r="S67" i="13" s="1"/>
  <c r="S69" i="13" s="1"/>
  <c r="S71" i="13" s="1"/>
  <c r="S73" i="13" s="1"/>
  <c r="S75" i="13" s="1"/>
  <c r="X47" i="13" s="1"/>
  <c r="X56" i="13"/>
  <c r="X49" i="13"/>
  <c r="F130" i="13"/>
  <c r="G125" i="13" s="1"/>
  <c r="O54" i="13"/>
  <c r="P54" i="13"/>
  <c r="Q54" i="13" s="1"/>
  <c r="O46" i="13"/>
  <c r="P46" i="13"/>
  <c r="Q46" i="13" s="1"/>
  <c r="N97" i="13"/>
  <c r="Q34" i="13"/>
  <c r="Z69" i="13"/>
  <c r="R34" i="13"/>
  <c r="K130" i="13"/>
  <c r="M130" i="13"/>
  <c r="O15" i="15"/>
  <c r="H19" i="15"/>
  <c r="I88" i="16"/>
  <c r="P52" i="13"/>
  <c r="Q52" i="13" s="1"/>
  <c r="T15" i="15"/>
  <c r="T16" i="15"/>
  <c r="T17" i="15"/>
  <c r="T18" i="15"/>
  <c r="I82" i="16"/>
  <c r="G48" i="16"/>
  <c r="G49" i="16" s="1"/>
  <c r="B5" i="13" a="1"/>
  <c r="I102" i="16"/>
  <c r="I96" i="16"/>
  <c r="Z6" i="15"/>
  <c r="Z7" i="15"/>
  <c r="Z8" i="15"/>
  <c r="Z9" i="15"/>
  <c r="I84" i="16"/>
  <c r="J58" i="13"/>
  <c r="L52" i="13"/>
  <c r="L58" i="13" s="1"/>
  <c r="F12" i="13" s="1"/>
  <c r="H12" i="13" s="1"/>
  <c r="O47" i="13"/>
  <c r="P47" i="13"/>
  <c r="Q47" i="13" s="1"/>
  <c r="I90" i="16"/>
  <c r="G16" i="16"/>
  <c r="G17" i="16" s="1"/>
  <c r="G19" i="16" s="1"/>
  <c r="G20" i="16" s="1"/>
  <c r="H17" i="16"/>
  <c r="H19" i="16" s="1"/>
  <c r="P48" i="13"/>
  <c r="Q48" i="13" s="1"/>
  <c r="G64" i="13" s="1"/>
  <c r="I101" i="16"/>
  <c r="M101" i="16"/>
  <c r="I92" i="16"/>
  <c r="W6" i="15"/>
  <c r="W7" i="15"/>
  <c r="W8" i="15"/>
  <c r="W9" i="15"/>
  <c r="R36" i="13"/>
  <c r="I89" i="16"/>
  <c r="M89" i="16"/>
  <c r="I1" i="13"/>
  <c r="M96" i="16"/>
  <c r="M84" i="16"/>
  <c r="X48" i="13"/>
  <c r="V17" i="15"/>
  <c r="Z15" i="15"/>
  <c r="V9" i="15"/>
  <c r="V8" i="15"/>
  <c r="V7" i="15"/>
  <c r="V6" i="15"/>
  <c r="L73" i="16"/>
  <c r="X46" i="13"/>
  <c r="S17" i="15"/>
  <c r="M88" i="16"/>
  <c r="AB18" i="15"/>
  <c r="S16" i="15"/>
  <c r="Z18" i="15"/>
  <c r="AB17" i="15"/>
  <c r="AB9" i="15"/>
  <c r="AB8" i="15"/>
  <c r="AB7" i="15"/>
  <c r="AB10" i="15" s="1"/>
  <c r="N10" i="15"/>
  <c r="F11" i="15" s="1"/>
  <c r="AA9" i="15"/>
  <c r="AA8" i="15"/>
  <c r="AA7" i="15"/>
  <c r="L1" i="13"/>
  <c r="Y9" i="15"/>
  <c r="Y8" i="15"/>
  <c r="Y7" i="15"/>
  <c r="O58" i="13" l="1"/>
  <c r="P53" i="13"/>
  <c r="Q53" i="13" s="1"/>
  <c r="X52" i="13"/>
  <c r="AC52" i="13" s="1"/>
  <c r="X51" i="13"/>
  <c r="X55" i="13"/>
  <c r="AC55" i="13" s="1"/>
  <c r="X17" i="15"/>
  <c r="L56" i="13"/>
  <c r="K63" i="13" s="1"/>
  <c r="X10" i="15"/>
  <c r="X16" i="15"/>
  <c r="U10" i="15"/>
  <c r="V10" i="15"/>
  <c r="Y19" i="15"/>
  <c r="Y10" i="15"/>
  <c r="R13" i="19"/>
  <c r="AJ13" i="19" s="1" a="1"/>
  <c r="AJ13" i="19" s="1"/>
  <c r="AK13" i="19" s="1"/>
  <c r="AL13" i="19" s="1"/>
  <c r="R15" i="19"/>
  <c r="AJ15" i="19" s="1" a="1"/>
  <c r="AJ15" i="19" s="1"/>
  <c r="AK15" i="19" s="1"/>
  <c r="AL15" i="19" s="1"/>
  <c r="AJ14" i="19" a="1"/>
  <c r="AJ14" i="19" s="1"/>
  <c r="AK14" i="19" s="1"/>
  <c r="AL14" i="19" s="1"/>
  <c r="F265" i="20"/>
  <c r="R51" i="19"/>
  <c r="V51" i="19"/>
  <c r="T51" i="19"/>
  <c r="S51" i="19"/>
  <c r="U51" i="19"/>
  <c r="F271" i="20"/>
  <c r="L273" i="20"/>
  <c r="R50" i="19" s="1" a="1"/>
  <c r="S10" i="15"/>
  <c r="V19" i="15"/>
  <c r="X19" i="15"/>
  <c r="X53" i="13"/>
  <c r="AC53" i="13" s="1"/>
  <c r="O9" i="15"/>
  <c r="AB19" i="15"/>
  <c r="T19" i="15"/>
  <c r="AA19" i="15"/>
  <c r="T10" i="15"/>
  <c r="W10" i="15"/>
  <c r="S19" i="15"/>
  <c r="X50" i="13"/>
  <c r="Z50" i="13" s="1"/>
  <c r="X54" i="13"/>
  <c r="Z54" i="13" s="1"/>
  <c r="O3" i="13"/>
  <c r="I126" i="13"/>
  <c r="I125" i="13"/>
  <c r="J125" i="13" s="1"/>
  <c r="L57" i="13"/>
  <c r="N99" i="13"/>
  <c r="H100" i="13" s="1"/>
  <c r="N100" i="13" s="1"/>
  <c r="M101" i="13" s="1"/>
  <c r="I99" i="13"/>
  <c r="Z46" i="13"/>
  <c r="AC46" i="13"/>
  <c r="B5" i="13"/>
  <c r="D5" i="13"/>
  <c r="E5" i="13"/>
  <c r="C5" i="13"/>
  <c r="S34" i="13"/>
  <c r="X58" i="13"/>
  <c r="G126" i="13"/>
  <c r="E11" i="15"/>
  <c r="I11" i="15"/>
  <c r="J11" i="15"/>
  <c r="M11" i="15"/>
  <c r="Z47" i="13"/>
  <c r="AC47" i="13"/>
  <c r="H11" i="15"/>
  <c r="Z49" i="13"/>
  <c r="AC49" i="13"/>
  <c r="G124" i="13"/>
  <c r="J124" i="13" s="1"/>
  <c r="K68" i="13"/>
  <c r="F10" i="13"/>
  <c r="G127" i="13"/>
  <c r="W18" i="15"/>
  <c r="W17" i="15"/>
  <c r="W16" i="15"/>
  <c r="G63" i="13"/>
  <c r="I128" i="13"/>
  <c r="I127" i="13"/>
  <c r="O51" i="13"/>
  <c r="P51" i="13"/>
  <c r="Q51" i="13" s="1"/>
  <c r="H64" i="13" s="1"/>
  <c r="Z52" i="13"/>
  <c r="K11" i="15"/>
  <c r="G11" i="15"/>
  <c r="L11" i="15"/>
  <c r="M105" i="16"/>
  <c r="O7" i="15"/>
  <c r="Z19" i="15"/>
  <c r="G128" i="13"/>
  <c r="O56" i="13"/>
  <c r="G68" i="13" s="1"/>
  <c r="R37" i="13"/>
  <c r="R38" i="13"/>
  <c r="O50" i="13"/>
  <c r="P50" i="13"/>
  <c r="Q50" i="13" s="1"/>
  <c r="H63" i="13" s="1"/>
  <c r="Z55" i="13"/>
  <c r="AC51" i="13"/>
  <c r="Z51" i="13"/>
  <c r="W15" i="15"/>
  <c r="R33" i="13"/>
  <c r="R35" i="13" s="1"/>
  <c r="X74" i="13"/>
  <c r="X75" i="13" s="1"/>
  <c r="Z75" i="13" s="1"/>
  <c r="O6" i="15"/>
  <c r="G51" i="16"/>
  <c r="H51" i="16" s="1"/>
  <c r="G52" i="16"/>
  <c r="H52" i="16" s="1"/>
  <c r="G53" i="16"/>
  <c r="H53" i="16" s="1"/>
  <c r="Z56" i="13"/>
  <c r="AC56" i="13"/>
  <c r="I105" i="16"/>
  <c r="Z10" i="15"/>
  <c r="D11" i="15"/>
  <c r="Z48" i="13"/>
  <c r="AC48" i="13"/>
  <c r="AA10" i="15"/>
  <c r="O8" i="15"/>
  <c r="F17" i="13"/>
  <c r="H17" i="13" s="1"/>
  <c r="N67" i="13"/>
  <c r="N68" i="13" s="1"/>
  <c r="N65" i="13" s="1"/>
  <c r="X57" i="13"/>
  <c r="R50" i="19" l="1"/>
  <c r="R53" i="19" s="1"/>
  <c r="U50" i="19"/>
  <c r="U53" i="19" s="1"/>
  <c r="U16" i="19" s="1"/>
  <c r="BH16" i="19" s="1" a="1"/>
  <c r="BH16" i="19" s="1"/>
  <c r="BI16" i="19" s="1"/>
  <c r="BJ16" i="19" s="1"/>
  <c r="T50" i="19"/>
  <c r="T53" i="19" s="1"/>
  <c r="T16" i="19" s="1"/>
  <c r="AZ16" i="19" s="1" a="1"/>
  <c r="AZ16" i="19" s="1"/>
  <c r="BA16" i="19" s="1"/>
  <c r="BB16" i="19" s="1"/>
  <c r="S50" i="19"/>
  <c r="S53" i="19" s="1"/>
  <c r="S16" i="19" s="1"/>
  <c r="AR16" i="19" s="1" a="1"/>
  <c r="AR16" i="19" s="1"/>
  <c r="AS16" i="19" s="1"/>
  <c r="AT16" i="19" s="1"/>
  <c r="V50" i="19"/>
  <c r="V53" i="19" s="1"/>
  <c r="V16" i="19" s="1"/>
  <c r="BP16" i="19" s="1" a="1"/>
  <c r="BP16" i="19" s="1"/>
  <c r="BQ16" i="19" s="1"/>
  <c r="BR16" i="19" s="1"/>
  <c r="Z53" i="13"/>
  <c r="AC50" i="13"/>
  <c r="AC54" i="13"/>
  <c r="J126" i="13"/>
  <c r="K126" i="13" s="1"/>
  <c r="L126" i="13" s="1"/>
  <c r="F22" i="13" s="1"/>
  <c r="H22" i="13" s="1"/>
  <c r="Q40" i="13" s="1"/>
  <c r="S40" i="13" s="1"/>
  <c r="O57" i="13"/>
  <c r="H68" i="13" s="1"/>
  <c r="H106" i="13"/>
  <c r="F19" i="13" s="1"/>
  <c r="H19" i="13" s="1"/>
  <c r="Q36" i="13" s="1"/>
  <c r="S36" i="13" s="1"/>
  <c r="L68" i="13"/>
  <c r="F13" i="13"/>
  <c r="H13" i="13" s="1"/>
  <c r="Y67" i="13"/>
  <c r="Z67" i="13" s="1"/>
  <c r="J127" i="13"/>
  <c r="K127" i="13" s="1"/>
  <c r="L127" i="13" s="1"/>
  <c r="F23" i="13" s="1"/>
  <c r="J128" i="13"/>
  <c r="M128" i="13" s="1"/>
  <c r="N128" i="13" s="1"/>
  <c r="G66" i="13"/>
  <c r="M124" i="13"/>
  <c r="N124" i="13" s="1"/>
  <c r="K124" i="13"/>
  <c r="L124" i="13" s="1"/>
  <c r="F20" i="13" s="1"/>
  <c r="H20" i="13" s="1"/>
  <c r="G8" i="16"/>
  <c r="M78" i="16" s="1"/>
  <c r="N77" i="16" s="1"/>
  <c r="G13" i="16"/>
  <c r="P78" i="16" s="1"/>
  <c r="Q77" i="16" s="1"/>
  <c r="F11" i="13"/>
  <c r="D11" i="13" s="1"/>
  <c r="AO11" i="13" s="1"/>
  <c r="H10" i="13"/>
  <c r="D25" i="13"/>
  <c r="D9" i="13"/>
  <c r="AO9" i="13" s="1"/>
  <c r="D10" i="13"/>
  <c r="AO10" i="13" s="1"/>
  <c r="D17" i="13"/>
  <c r="AO17" i="13" s="1"/>
  <c r="D12" i="13"/>
  <c r="AO12" i="13" s="1"/>
  <c r="B9" i="13"/>
  <c r="Y9" i="13" s="1"/>
  <c r="B10" i="13"/>
  <c r="Y10" i="13" s="1"/>
  <c r="B17" i="13"/>
  <c r="Y17" i="13" s="1"/>
  <c r="B12" i="13"/>
  <c r="Y12" i="13" s="1"/>
  <c r="B25" i="13"/>
  <c r="H101" i="13"/>
  <c r="F101" i="13"/>
  <c r="H90" i="13"/>
  <c r="H91" i="13" s="1"/>
  <c r="M125" i="13"/>
  <c r="N125" i="13" s="1"/>
  <c r="K125" i="13"/>
  <c r="L125" i="13" s="1"/>
  <c r="F21" i="13" s="1"/>
  <c r="H21" i="13" s="1"/>
  <c r="AC59" i="13"/>
  <c r="G7" i="16"/>
  <c r="I106" i="16" s="1"/>
  <c r="I107" i="16" s="1"/>
  <c r="G12" i="16"/>
  <c r="M106" i="16" s="1"/>
  <c r="M107" i="16" s="1"/>
  <c r="Z58" i="13"/>
  <c r="AC58" i="13"/>
  <c r="Z59" i="13"/>
  <c r="M67" i="13" s="1"/>
  <c r="W19" i="15"/>
  <c r="R41" i="13"/>
  <c r="AC57" i="13"/>
  <c r="Z57" i="13"/>
  <c r="C9" i="13"/>
  <c r="AG9" i="13" s="1"/>
  <c r="C10" i="13"/>
  <c r="AG10" i="13" s="1"/>
  <c r="C17" i="13"/>
  <c r="AG17" i="13" s="1"/>
  <c r="C12" i="13"/>
  <c r="AG12" i="13" s="1"/>
  <c r="C25" i="13"/>
  <c r="F15" i="13"/>
  <c r="F16" i="13" s="1"/>
  <c r="M68" i="13"/>
  <c r="H66" i="13"/>
  <c r="L65" i="13"/>
  <c r="G9" i="16"/>
  <c r="M74" i="16" s="1"/>
  <c r="M55" i="16" s="1"/>
  <c r="G14" i="16"/>
  <c r="P74" i="16" s="1"/>
  <c r="K65" i="13"/>
  <c r="E25" i="13"/>
  <c r="E9" i="13"/>
  <c r="AW9" i="13" s="1"/>
  <c r="E10" i="13"/>
  <c r="AW10" i="13" s="1"/>
  <c r="E17" i="13"/>
  <c r="AW17" i="13" s="1"/>
  <c r="E12" i="13"/>
  <c r="AW12" i="13" s="1"/>
  <c r="C11" i="13" l="1"/>
  <c r="AG11" i="13" s="1"/>
  <c r="M126" i="13"/>
  <c r="N126" i="13" s="1"/>
  <c r="R16" i="19"/>
  <c r="AJ16" i="19" s="1" a="1"/>
  <c r="AJ16" i="19" s="1"/>
  <c r="AK16" i="19" s="1"/>
  <c r="AL16" i="19" s="1"/>
  <c r="W53" i="19"/>
  <c r="I67" i="13"/>
  <c r="E13" i="13"/>
  <c r="AW13" i="13" s="1"/>
  <c r="B11" i="13"/>
  <c r="Y11" i="13" s="1"/>
  <c r="E20" i="13"/>
  <c r="C15" i="13"/>
  <c r="AG15" i="13" s="1"/>
  <c r="K128" i="13"/>
  <c r="L128" i="13" s="1"/>
  <c r="F24" i="13" s="1"/>
  <c r="B24" i="13" s="1"/>
  <c r="Y24" i="13" s="1"/>
  <c r="H23" i="13"/>
  <c r="Q39" i="13" s="1"/>
  <c r="S39" i="13" s="1"/>
  <c r="C23" i="13"/>
  <c r="E23" i="13"/>
  <c r="B23" i="13"/>
  <c r="Y23" i="13" s="1"/>
  <c r="M127" i="13"/>
  <c r="N127" i="13" s="1"/>
  <c r="C13" i="13"/>
  <c r="C19" i="13"/>
  <c r="D19" i="13"/>
  <c r="O25" i="13"/>
  <c r="D13" i="13"/>
  <c r="B19" i="13"/>
  <c r="E11" i="13"/>
  <c r="E19" i="13"/>
  <c r="B13" i="13"/>
  <c r="Y13" i="13" s="1"/>
  <c r="E15" i="13"/>
  <c r="D21" i="13"/>
  <c r="C21" i="13"/>
  <c r="D23" i="13"/>
  <c r="E21" i="13"/>
  <c r="D15" i="13"/>
  <c r="B15" i="13"/>
  <c r="K11" i="13"/>
  <c r="L10" i="13"/>
  <c r="J9" i="13"/>
  <c r="C22" i="13"/>
  <c r="AG22" i="13" s="1"/>
  <c r="L9" i="13"/>
  <c r="O17" i="13"/>
  <c r="I17" i="13"/>
  <c r="K12" i="13"/>
  <c r="K17" i="13"/>
  <c r="J10" i="13"/>
  <c r="H11" i="13"/>
  <c r="O10" i="13"/>
  <c r="I10" i="13"/>
  <c r="K10" i="13"/>
  <c r="J17" i="13"/>
  <c r="J11" i="13"/>
  <c r="E22" i="13"/>
  <c r="AW22" i="13" s="1"/>
  <c r="B22" i="13"/>
  <c r="Y22" i="13" s="1"/>
  <c r="O9" i="13"/>
  <c r="I9" i="13"/>
  <c r="K9" i="13"/>
  <c r="L12" i="13"/>
  <c r="J12" i="13"/>
  <c r="F8" i="13"/>
  <c r="H15" i="13"/>
  <c r="C20" i="13"/>
  <c r="AG20" i="13" s="1"/>
  <c r="Q85" i="16"/>
  <c r="S86" i="16"/>
  <c r="Q97" i="16"/>
  <c r="S98" i="16"/>
  <c r="Q84" i="16"/>
  <c r="S85" i="16"/>
  <c r="Q96" i="16"/>
  <c r="S97" i="16"/>
  <c r="Q83" i="16"/>
  <c r="S84" i="16"/>
  <c r="Q95" i="16"/>
  <c r="S96" i="16"/>
  <c r="Q82" i="16"/>
  <c r="S83" i="16"/>
  <c r="Q94" i="16"/>
  <c r="S95" i="16"/>
  <c r="S82" i="16"/>
  <c r="N91" i="16"/>
  <c r="O91" i="16" s="1"/>
  <c r="Q93" i="16"/>
  <c r="S94" i="16"/>
  <c r="N103" i="16"/>
  <c r="O103" i="16" s="1"/>
  <c r="Q92" i="16"/>
  <c r="S93" i="16"/>
  <c r="Q91" i="16"/>
  <c r="S92" i="16"/>
  <c r="Q103" i="16"/>
  <c r="Q90" i="16"/>
  <c r="S91" i="16"/>
  <c r="Q102" i="16"/>
  <c r="S103" i="16"/>
  <c r="Q88" i="16"/>
  <c r="S89" i="16"/>
  <c r="Q100" i="16"/>
  <c r="S101" i="16"/>
  <c r="Q87" i="16"/>
  <c r="S88" i="16"/>
  <c r="Q99" i="16"/>
  <c r="S100" i="16"/>
  <c r="Q89" i="16"/>
  <c r="Q86" i="16"/>
  <c r="Q101" i="16"/>
  <c r="Q98" i="16"/>
  <c r="S90" i="16"/>
  <c r="S99" i="16"/>
  <c r="N87" i="16"/>
  <c r="O87" i="16" s="1"/>
  <c r="S87" i="16"/>
  <c r="S102" i="16"/>
  <c r="N99" i="16"/>
  <c r="O99" i="16" s="1"/>
  <c r="N98" i="16"/>
  <c r="O98" i="16" s="1"/>
  <c r="N86" i="16"/>
  <c r="O86" i="16" s="1"/>
  <c r="N100" i="16"/>
  <c r="O100" i="16" s="1"/>
  <c r="N95" i="16"/>
  <c r="O95" i="16" s="1"/>
  <c r="N94" i="16"/>
  <c r="O94" i="16" s="1"/>
  <c r="N97" i="16"/>
  <c r="O97" i="16" s="1"/>
  <c r="N92" i="16"/>
  <c r="O92" i="16" s="1"/>
  <c r="N83" i="16"/>
  <c r="O83" i="16" s="1"/>
  <c r="N90" i="16"/>
  <c r="O90" i="16" s="1"/>
  <c r="N85" i="16"/>
  <c r="O85" i="16" s="1"/>
  <c r="N93" i="16"/>
  <c r="O93" i="16" s="1"/>
  <c r="N102" i="16"/>
  <c r="O102" i="16" s="1"/>
  <c r="N82" i="16"/>
  <c r="N84" i="16"/>
  <c r="O84" i="16" s="1"/>
  <c r="N101" i="16"/>
  <c r="O101" i="16" s="1"/>
  <c r="N96" i="16"/>
  <c r="O96" i="16" s="1"/>
  <c r="N88" i="16"/>
  <c r="O88" i="16" s="1"/>
  <c r="N89" i="16"/>
  <c r="O89" i="16" s="1"/>
  <c r="B21" i="13"/>
  <c r="Y21" i="13" s="1"/>
  <c r="D22" i="13"/>
  <c r="AO22" i="13" s="1"/>
  <c r="O60" i="16"/>
  <c r="O64" i="16"/>
  <c r="O68" i="16"/>
  <c r="O59" i="16"/>
  <c r="O63" i="16"/>
  <c r="O67" i="16"/>
  <c r="O71" i="16"/>
  <c r="O58" i="16"/>
  <c r="O62" i="16"/>
  <c r="O66" i="16"/>
  <c r="O70" i="16"/>
  <c r="O61" i="16"/>
  <c r="O65" i="16"/>
  <c r="O69" i="16"/>
  <c r="M65" i="16"/>
  <c r="M68" i="16"/>
  <c r="M60" i="16"/>
  <c r="M69" i="16"/>
  <c r="M61" i="16"/>
  <c r="M64" i="16"/>
  <c r="M59" i="16"/>
  <c r="M62" i="16"/>
  <c r="M66" i="16"/>
  <c r="M71" i="16"/>
  <c r="M58" i="16"/>
  <c r="M67" i="16"/>
  <c r="M63" i="16"/>
  <c r="M70" i="16"/>
  <c r="J95" i="16"/>
  <c r="K95" i="16" s="1"/>
  <c r="J97" i="16"/>
  <c r="K97" i="16" s="1"/>
  <c r="J99" i="16"/>
  <c r="K99" i="16" s="1"/>
  <c r="J103" i="16"/>
  <c r="K103" i="16" s="1"/>
  <c r="J86" i="16"/>
  <c r="K86" i="16" s="1"/>
  <c r="J87" i="16"/>
  <c r="K87" i="16" s="1"/>
  <c r="J100" i="16"/>
  <c r="K100" i="16" s="1"/>
  <c r="J85" i="16"/>
  <c r="K85" i="16" s="1"/>
  <c r="J83" i="16"/>
  <c r="K83" i="16" s="1"/>
  <c r="J93" i="16"/>
  <c r="K93" i="16" s="1"/>
  <c r="J94" i="16"/>
  <c r="K94" i="16" s="1"/>
  <c r="J98" i="16"/>
  <c r="K98" i="16" s="1"/>
  <c r="J91" i="16"/>
  <c r="K91" i="16" s="1"/>
  <c r="J101" i="16"/>
  <c r="K101" i="16" s="1"/>
  <c r="J90" i="16"/>
  <c r="K90" i="16" s="1"/>
  <c r="J82" i="16"/>
  <c r="J88" i="16"/>
  <c r="K88" i="16" s="1"/>
  <c r="J89" i="16"/>
  <c r="K89" i="16" s="1"/>
  <c r="J84" i="16"/>
  <c r="K84" i="16" s="1"/>
  <c r="J102" i="16"/>
  <c r="K102" i="16" s="1"/>
  <c r="J92" i="16"/>
  <c r="K92" i="16" s="1"/>
  <c r="J96" i="16"/>
  <c r="K96" i="16" s="1"/>
  <c r="I12" i="13"/>
  <c r="O12" i="13"/>
  <c r="Q38" i="13"/>
  <c r="S38" i="13" s="1"/>
  <c r="L17" i="13"/>
  <c r="AB75" i="13"/>
  <c r="I68" i="13" s="1"/>
  <c r="M65" i="13" s="1"/>
  <c r="B20" i="13"/>
  <c r="Y20" i="13" s="1"/>
  <c r="D20" i="13"/>
  <c r="AO20" i="13" s="1"/>
  <c r="J15" i="13" l="1"/>
  <c r="L13" i="13"/>
  <c r="K23" i="13"/>
  <c r="AO23" i="13"/>
  <c r="J13" i="13"/>
  <c r="AG13" i="13"/>
  <c r="J21" i="13"/>
  <c r="AG21" i="13"/>
  <c r="K21" i="13"/>
  <c r="AO21" i="13"/>
  <c r="L15" i="13"/>
  <c r="AW15" i="13"/>
  <c r="L23" i="13"/>
  <c r="AW23" i="13"/>
  <c r="J23" i="13"/>
  <c r="AG23" i="13"/>
  <c r="L19" i="13"/>
  <c r="AW19" i="13"/>
  <c r="L11" i="13"/>
  <c r="AW11" i="13"/>
  <c r="I19" i="13"/>
  <c r="Y19" i="13"/>
  <c r="I11" i="13"/>
  <c r="M11" i="13" s="1"/>
  <c r="K13" i="13"/>
  <c r="AO13" i="13"/>
  <c r="L20" i="13"/>
  <c r="AW20" i="13"/>
  <c r="O11" i="13"/>
  <c r="I15" i="13"/>
  <c r="Y15" i="13"/>
  <c r="K15" i="13"/>
  <c r="AO15" i="13"/>
  <c r="K19" i="13"/>
  <c r="AO19" i="13"/>
  <c r="L21" i="13"/>
  <c r="AW21" i="13"/>
  <c r="J19" i="13"/>
  <c r="AG19" i="13"/>
  <c r="O13" i="13"/>
  <c r="I13" i="13"/>
  <c r="O23" i="13"/>
  <c r="D24" i="13"/>
  <c r="AO24" i="13" s="1"/>
  <c r="H24" i="13"/>
  <c r="H25" i="13" s="1"/>
  <c r="Q37" i="13" s="1"/>
  <c r="Q41" i="13" s="1"/>
  <c r="S41" i="13" s="1"/>
  <c r="E24" i="13"/>
  <c r="C24" i="13"/>
  <c r="M10" i="13"/>
  <c r="I23" i="13"/>
  <c r="O19" i="13"/>
  <c r="O15" i="13"/>
  <c r="M17" i="13"/>
  <c r="N65" i="16"/>
  <c r="N69" i="16"/>
  <c r="N70" i="16"/>
  <c r="N68" i="16"/>
  <c r="J20" i="13"/>
  <c r="I24" i="13"/>
  <c r="N67" i="16"/>
  <c r="L22" i="13"/>
  <c r="N58" i="16"/>
  <c r="M73" i="16"/>
  <c r="P65" i="16" s="1"/>
  <c r="Q65" i="16" s="1"/>
  <c r="F6" i="13"/>
  <c r="F7" i="13"/>
  <c r="H8" i="13"/>
  <c r="D8" i="13"/>
  <c r="AO8" i="13" s="1"/>
  <c r="B8" i="13"/>
  <c r="Y8" i="13" s="1"/>
  <c r="C8" i="13"/>
  <c r="AG8" i="13" s="1"/>
  <c r="E8" i="13"/>
  <c r="AW8" i="13" s="1"/>
  <c r="N63" i="16"/>
  <c r="K20" i="13"/>
  <c r="K22" i="13"/>
  <c r="N66" i="16"/>
  <c r="I21" i="13"/>
  <c r="O21" i="13"/>
  <c r="N71" i="16"/>
  <c r="I20" i="13"/>
  <c r="O20" i="13"/>
  <c r="J105" i="16"/>
  <c r="K82" i="16"/>
  <c r="N62" i="16"/>
  <c r="N59" i="16"/>
  <c r="M12" i="13"/>
  <c r="N64" i="16"/>
  <c r="N61" i="16"/>
  <c r="M9" i="13"/>
  <c r="N60" i="16"/>
  <c r="P105" i="16"/>
  <c r="O82" i="16"/>
  <c r="N105" i="16"/>
  <c r="Q105" i="16"/>
  <c r="I22" i="13"/>
  <c r="O22" i="13"/>
  <c r="J22" i="13"/>
  <c r="M15" i="13" l="1"/>
  <c r="M19" i="13"/>
  <c r="K24" i="13"/>
  <c r="P64" i="16"/>
  <c r="Q64" i="16" s="1"/>
  <c r="P60" i="16"/>
  <c r="Q60" i="16" s="1"/>
  <c r="P71" i="16"/>
  <c r="Q71" i="16" s="1"/>
  <c r="P62" i="16"/>
  <c r="Q62" i="16" s="1"/>
  <c r="P63" i="16"/>
  <c r="Q63" i="16" s="1"/>
  <c r="P59" i="16"/>
  <c r="Q59" i="16" s="1"/>
  <c r="S37" i="13"/>
  <c r="P66" i="16"/>
  <c r="Q66" i="16" s="1"/>
  <c r="P61" i="16"/>
  <c r="Q61" i="16" s="1"/>
  <c r="P58" i="16"/>
  <c r="Q58" i="16" s="1"/>
  <c r="M13" i="13"/>
  <c r="M23" i="13"/>
  <c r="J24" i="13"/>
  <c r="AG24" i="13"/>
  <c r="M21" i="13"/>
  <c r="L24" i="13"/>
  <c r="AW24" i="13"/>
  <c r="O24" i="13"/>
  <c r="H7" i="13"/>
  <c r="D7" i="13"/>
  <c r="AO7" i="13" s="1"/>
  <c r="B7" i="13"/>
  <c r="Y7" i="13" s="1"/>
  <c r="C7" i="13"/>
  <c r="AG7" i="13" s="1"/>
  <c r="E7" i="13"/>
  <c r="AW7" i="13" s="1"/>
  <c r="M22" i="13"/>
  <c r="F14" i="13"/>
  <c r="H16" i="13"/>
  <c r="F18" i="13"/>
  <c r="D16" i="13"/>
  <c r="AO16" i="13" s="1"/>
  <c r="B16" i="13"/>
  <c r="Y16" i="13" s="1"/>
  <c r="E16" i="13"/>
  <c r="AW16" i="13" s="1"/>
  <c r="C16" i="13"/>
  <c r="AG16" i="13" s="1"/>
  <c r="P68" i="16"/>
  <c r="Q68" i="16" s="1"/>
  <c r="H6" i="13"/>
  <c r="C6" i="13"/>
  <c r="AG6" i="13" s="1"/>
  <c r="E6" i="13"/>
  <c r="AW6" i="13" s="1"/>
  <c r="B6" i="13"/>
  <c r="Y6" i="13" s="1"/>
  <c r="D6" i="13"/>
  <c r="AO6" i="13" s="1"/>
  <c r="M20" i="13"/>
  <c r="P70" i="16"/>
  <c r="Q70" i="16" s="1"/>
  <c r="P67" i="16"/>
  <c r="Q67" i="16" s="1"/>
  <c r="K8" i="13"/>
  <c r="P69" i="16"/>
  <c r="Q69" i="16" s="1"/>
  <c r="L8" i="13"/>
  <c r="J8" i="13"/>
  <c r="O8" i="13"/>
  <c r="I8" i="13"/>
  <c r="M24" i="13" l="1"/>
  <c r="H14" i="13"/>
  <c r="B14" i="13"/>
  <c r="Y14" i="13" s="1"/>
  <c r="C14" i="13"/>
  <c r="AG14" i="13" s="1"/>
  <c r="E14" i="13"/>
  <c r="AW14" i="13" s="1"/>
  <c r="D14" i="13"/>
  <c r="AO14" i="13" s="1"/>
  <c r="H18" i="13"/>
  <c r="C18" i="13"/>
  <c r="AG18" i="13" s="1"/>
  <c r="E18" i="13"/>
  <c r="AW18" i="13" s="1"/>
  <c r="D18" i="13"/>
  <c r="AO18" i="13" s="1"/>
  <c r="B18" i="13"/>
  <c r="Y18" i="13" s="1"/>
  <c r="J7" i="13"/>
  <c r="P73" i="16"/>
  <c r="O7" i="13"/>
  <c r="I7" i="13"/>
  <c r="K6" i="13"/>
  <c r="K7" i="13"/>
  <c r="I6" i="13"/>
  <c r="O6" i="13"/>
  <c r="J16" i="13"/>
  <c r="M25" i="13"/>
  <c r="L6" i="13"/>
  <c r="L16" i="13"/>
  <c r="M8" i="13"/>
  <c r="J6" i="13"/>
  <c r="O16" i="13"/>
  <c r="I16" i="13"/>
  <c r="L7" i="13"/>
  <c r="K16" i="13"/>
  <c r="O18" i="13" l="1"/>
  <c r="I18" i="13"/>
  <c r="J14" i="13"/>
  <c r="K18" i="13"/>
  <c r="M16" i="13"/>
  <c r="L18" i="13"/>
  <c r="I14" i="13"/>
  <c r="O14" i="13"/>
  <c r="J18" i="13"/>
  <c r="M7" i="13"/>
  <c r="K14" i="13"/>
  <c r="M6" i="13"/>
  <c r="L14" i="13"/>
  <c r="M14" i="13" l="1"/>
  <c r="H3" i="13"/>
  <c r="H26" i="13" s="1"/>
  <c r="E26" i="13"/>
  <c r="C26" i="13"/>
  <c r="B26" i="13"/>
  <c r="D26" i="13"/>
  <c r="M18" i="13"/>
  <c r="Q33" i="13" l="1"/>
  <c r="Q42" i="13" s="1"/>
  <c r="Q35" i="13" l="1"/>
  <c r="S35" i="13" s="1"/>
  <c r="S33" i="13"/>
  <c r="M3" i="13"/>
  <c r="M26" i="13" s="1"/>
  <c r="V131" i="2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tc={6EBAD7AA-BC0B-485E-A131-9CE7CF9C2547}</author>
    <author>tc={661494A7-DF3E-4F4E-8650-395617F3219D}</author>
    <author>tc={E6203300-7FD2-43D4-9D3E-FE5F9DC2F9C1}</author>
    <author>tc={1630103D-995D-4FBD-A015-1C7A014660E4}</author>
    <author>tc={D46D6D62-BAC7-4164-8789-C6EA3D41E60E}</author>
  </authors>
  <commentList>
    <comment ref="C123" authorId="0" shapeId="0" xr:uid="{6EBAD7AA-BC0B-485E-A131-9CE7CF9C2547}">
      <text>
        <t>[Threaded comment]
Your version of Excel allows you to read this threaded comment; however, any edits to it will get removed if the file is opened in a newer version of Excel. Learn more: https://go.microsoft.com/fwlink/?linkid=870924
Comment:
    I changed these components as the information I had pertained to offshore wind turbines. I did keep the information should it be of use (see cell AH98)</t>
      </text>
    </comment>
    <comment ref="F139" authorId="1" shapeId="0" xr:uid="{661494A7-DF3E-4F4E-8650-395617F3219D}">
      <text>
        <t>[Threaded comment]
Your version of Excel allows you to read this threaded comment; however, any edits to it will get removed if the file is opened in a newer version of Excel. Learn more: https://go.microsoft.com/fwlink/?linkid=870924
Comment:
    Current cost</t>
      </text>
    </comment>
    <comment ref="W148" authorId="2" shapeId="0" xr:uid="{E6203300-7FD2-43D4-9D3E-FE5F9DC2F9C1}">
      <text>
        <t>[Threaded comment]
Your version of Excel allows you to read this threaded comment; however, any edits to it will get removed if the file is opened in a newer version of Excel. Learn more: https://go.microsoft.com/fwlink/?linkid=870924
Comment:
    To obtain this, I summed the pitch assembly and hub assembly costs.</t>
      </text>
    </comment>
    <comment ref="D159" authorId="3" shapeId="0" xr:uid="{1630103D-995D-4FBD-A015-1C7A014660E4}">
      <text>
        <t>[Threaded comment]
Your version of Excel allows you to read this threaded comment; however, any edits to it will get removed if the file is opened in a newer version of Excel. Learn more: https://go.microsoft.com/fwlink/?linkid=870924
Comment:
    To obtain these percetages, I derived the percentages of Table 26 of the source indicated in cell D190</t>
      </text>
    </comment>
    <comment ref="D204" authorId="4" shapeId="0" xr:uid="{D46D6D62-BAC7-4164-8789-C6EA3D41E60E}">
      <text>
        <t>[Threaded comment]
Your version of Excel allows you to read this threaded comment; however, any edits to it will get removed if the file is opened in a newer version of Excel. Learn more: https://go.microsoft.com/fwlink/?linkid=870924
Comment:
    To obtain these percetages, I derived the percentages of Table 26 of the source indicated in cell D190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A14" authorId="0" shapeId="0" xr:uid="{FFA38789-FD63-4EAF-AF52-79D468ADE630}">
      <text>
        <r>
          <rPr>
            <b/>
            <sz val="8"/>
            <color indexed="81"/>
            <rFont val="Tahoma"/>
            <family val="2"/>
          </rPr>
          <t>Bruno:</t>
        </r>
        <r>
          <rPr>
            <sz val="8"/>
            <color indexed="81"/>
            <rFont val="Tahoma"/>
            <family val="2"/>
          </rPr>
          <t xml:space="preserve">
We currently don't have any referneced estimates for the share of commissioning costs, so we've assumed 1% of total.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tc={E578A017-B92C-446A-BE9B-0ABE581096B7}</author>
    <author>tc={C0E058AE-792C-40E1-8E07-26E23DD3FFE1}</author>
  </authors>
  <commentList>
    <comment ref="C6" authorId="0" shapeId="0" xr:uid="{E578A017-B92C-446A-BE9B-0ABE581096B7}">
      <text>
        <t>[Threaded comment]
Your version of Excel allows you to read this threaded comment; however, any edits to it will get removed if the file is opened in a newer version of Excel. Learn more: https://go.microsoft.com/fwlink/?linkid=870924
Comment:
    Need to update this!!!</t>
      </text>
    </comment>
    <comment ref="C19" authorId="1" shapeId="0" xr:uid="{C0E058AE-792C-40E1-8E07-26E23DD3FFE1}">
      <text>
        <t>[Threaded comment]
Your version of Excel allows you to read this threaded comment; however, any edits to it will get removed if the file is opened in a newer version of Excel. Learn more: https://go.microsoft.com/fwlink/?linkid=870924
Comment:
    ETRANS = 33GW, ETRansDUM = 53GW, km = 33,000km.</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author>
    <author>Author</author>
    <author>tc={A7B40221-3CFF-41CA-B8FA-EF3FED7A3889}</author>
  </authors>
  <commentList>
    <comment ref="E5" authorId="0" shapeId="0" xr:uid="{6B0F0B97-A0E9-4357-86DF-BC764701DCFC}">
      <text>
        <r>
          <rPr>
            <b/>
            <sz val="9"/>
            <color indexed="81"/>
            <rFont val="Tahoma"/>
            <family val="2"/>
          </rPr>
          <t>Bruno:</t>
        </r>
        <r>
          <rPr>
            <sz val="9"/>
            <color indexed="81"/>
            <rFont val="Tahoma"/>
            <family val="2"/>
          </rPr>
          <t xml:space="preserve">
gross operating surplus = return to capital = annuity = interest+dividends+depreciation.</t>
        </r>
      </text>
    </comment>
    <comment ref="G10" authorId="1" shapeId="0" xr:uid="{F759DF64-702C-4ACE-8AE7-EA4DF84A4A13}">
      <text>
        <r>
          <rPr>
            <b/>
            <sz val="9"/>
            <color indexed="81"/>
            <rFont val="Tahoma"/>
            <family val="2"/>
          </rPr>
          <t>Author:</t>
        </r>
        <r>
          <rPr>
            <sz val="9"/>
            <color indexed="81"/>
            <rFont val="Tahoma"/>
            <family val="2"/>
          </rPr>
          <t xml:space="preserve">
From the SAM. Includes all expenditures except fuels.</t>
        </r>
      </text>
    </comment>
    <comment ref="G17" authorId="0" shapeId="0" xr:uid="{06A65A9A-CDD7-4726-9F20-4E7573E30A8A}">
      <text>
        <r>
          <rPr>
            <b/>
            <sz val="9"/>
            <color indexed="81"/>
            <rFont val="Tahoma"/>
            <family val="2"/>
          </rPr>
          <t>Bruno:</t>
        </r>
        <r>
          <rPr>
            <sz val="9"/>
            <color indexed="81"/>
            <rFont val="Tahoma"/>
            <family val="2"/>
          </rPr>
          <t xml:space="preserve">
Total in SATIM</t>
        </r>
      </text>
    </comment>
    <comment ref="H17" authorId="0" shapeId="0" xr:uid="{C52DBE4D-6201-4E48-88BC-DE7C3B048C2D}">
      <text>
        <r>
          <rPr>
            <b/>
            <sz val="9"/>
            <color indexed="81"/>
            <rFont val="Tahoma"/>
            <family val="2"/>
          </rPr>
          <t>Bruno:</t>
        </r>
        <r>
          <rPr>
            <sz val="9"/>
            <color indexed="81"/>
            <rFont val="Tahoma"/>
            <family val="2"/>
          </rPr>
          <t xml:space="preserve">
Total in CGE</t>
        </r>
      </text>
    </comment>
    <comment ref="I19" authorId="0" shapeId="0" xr:uid="{73CC28CC-8854-4953-890F-2011051AB645}">
      <text>
        <r>
          <rPr>
            <b/>
            <sz val="9"/>
            <color indexed="81"/>
            <rFont val="Tahoma"/>
            <family val="2"/>
          </rPr>
          <t>Bruno:</t>
        </r>
        <r>
          <rPr>
            <sz val="9"/>
            <color indexed="81"/>
            <rFont val="Tahoma"/>
            <family val="2"/>
          </rPr>
          <t xml:space="preserve">
from model results</t>
        </r>
      </text>
    </comment>
    <comment ref="E81" authorId="2" shapeId="0" xr:uid="{A7B40221-3CFF-41CA-B8FA-EF3FED7A3889}">
      <text>
        <t>[Threaded comment]
Your version of Excel allows you to read this threaded comment; however, any edits to it will get removed if the file is opened in a newer version of Excel. Learn more: https://go.microsoft.com/fwlink/?linkid=870924
Comment:
    based on cost of new plant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100" authorId="0" shapeId="0" xr:uid="{9C836510-57CB-4807-BFA5-CD4D073C18DF}">
      <text>
        <r>
          <rPr>
            <b/>
            <sz val="9"/>
            <color indexed="81"/>
            <rFont val="Tahoma"/>
            <family val="2"/>
          </rPr>
          <t>Bruno:</t>
        </r>
        <r>
          <rPr>
            <sz val="9"/>
            <color indexed="81"/>
            <rFont val="Tahoma"/>
            <family val="2"/>
          </rPr>
          <t xml:space="preserve">
includes head office.
Rotek split into 3.</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<sst xmlns="http://schemas.openxmlformats.org/spreadsheetml/2006/main" count="4493" uniqueCount="1370">
  <si>
    <t>Year</t>
  </si>
  <si>
    <t>Attribute</t>
  </si>
  <si>
    <t>Pset_PN</t>
  </si>
  <si>
    <t>XICPELC</t>
  </si>
  <si>
    <t>XIMIELC</t>
  </si>
  <si>
    <t>XIFBELC</t>
  </si>
  <si>
    <t>XTRAELC</t>
  </si>
  <si>
    <t>-</t>
  </si>
  <si>
    <t>REGION1</t>
  </si>
  <si>
    <t>EDist Industry</t>
  </si>
  <si>
    <t>XUPSELC</t>
  </si>
  <si>
    <t>Edist Transport</t>
  </si>
  <si>
    <t>EDist Residential</t>
  </si>
  <si>
    <t>XRESELC</t>
  </si>
  <si>
    <t>XIPPELC</t>
  </si>
  <si>
    <t>XIOTELC</t>
  </si>
  <si>
    <t>XINMELC</t>
  </si>
  <si>
    <t>XINFELC</t>
  </si>
  <si>
    <t>XIISELC</t>
  </si>
  <si>
    <t>XIFAELC</t>
  </si>
  <si>
    <t>EDist Commercial</t>
  </si>
  <si>
    <t>XCOMELC</t>
  </si>
  <si>
    <t>EDist Agriculture</t>
  </si>
  <si>
    <t>XAGRELC</t>
  </si>
  <si>
    <t>ETRANSDUM</t>
  </si>
  <si>
    <t>EPTSTO-E</t>
  </si>
  <si>
    <t>EOil</t>
  </si>
  <si>
    <t>ETODSGT-E</t>
  </si>
  <si>
    <t>ENuclear</t>
  </si>
  <si>
    <t>ETNUC-E</t>
  </si>
  <si>
    <t>EGas</t>
  </si>
  <si>
    <t>ETCLETUTU-E</t>
  </si>
  <si>
    <t>ETCLEMATL-E</t>
  </si>
  <si>
    <t>ETCLEMATI-E</t>
  </si>
  <si>
    <t>ETCLEMAJW-E</t>
  </si>
  <si>
    <t>ETCLEPFSS-E</t>
  </si>
  <si>
    <t>ETCLEMAJD-E</t>
  </si>
  <si>
    <t>ETCLEPFSI-E</t>
  </si>
  <si>
    <t>ETCLELETH-E</t>
  </si>
  <si>
    <t>ETCLEKRIE-E</t>
  </si>
  <si>
    <t>ETCLEKOMA-E</t>
  </si>
  <si>
    <t>ETCLEKEND-E</t>
  </si>
  <si>
    <t>ETCLEKELB-E</t>
  </si>
  <si>
    <t>ETCLEHEND-E</t>
  </si>
  <si>
    <t>ETCLEGROO-E</t>
  </si>
  <si>
    <t>ETCLEDUVH-E</t>
  </si>
  <si>
    <t>ETCLECAMD-E</t>
  </si>
  <si>
    <t>ETCLEARNO-E</t>
  </si>
  <si>
    <t>ETCLDFB-N</t>
  </si>
  <si>
    <t>EWind</t>
  </si>
  <si>
    <t>ECSP</t>
  </si>
  <si>
    <t>ERHYD-I</t>
  </si>
  <si>
    <t>ERHYDGIW-I</t>
  </si>
  <si>
    <t>ERHYD-E</t>
  </si>
  <si>
    <t>EPV_Grid</t>
  </si>
  <si>
    <t>EHydro</t>
  </si>
  <si>
    <t>EImports</t>
  </si>
  <si>
    <t>EBiomass</t>
  </si>
  <si>
    <t>EPumpStorage</t>
  </si>
  <si>
    <t>Subsubsector</t>
  </si>
  <si>
    <t>Total</t>
  </si>
  <si>
    <t>If Include Eskom vision</t>
  </si>
  <si>
    <t>2012 Employment '000 empl./GW</t>
  </si>
  <si>
    <t>Employment</t>
  </si>
  <si>
    <t>weighted Share</t>
  </si>
  <si>
    <t>Share</t>
  </si>
  <si>
    <t>BY Capacity (GW)</t>
  </si>
  <si>
    <t>BY Customers (m)</t>
  </si>
  <si>
    <t>Satim sub-Sectors</t>
  </si>
  <si>
    <t>Weighting</t>
  </si>
  <si>
    <t>Redistributors</t>
  </si>
  <si>
    <t>General</t>
  </si>
  <si>
    <t>Transport</t>
  </si>
  <si>
    <t>Commercial</t>
  </si>
  <si>
    <t>Manufacturing/industrial</t>
  </si>
  <si>
    <t>Mining</t>
  </si>
  <si>
    <t>Agriculture</t>
  </si>
  <si>
    <t>Domestic</t>
  </si>
  <si>
    <t>Total Customers (million)</t>
  </si>
  <si>
    <t>Customer Category</t>
  </si>
  <si>
    <t>Distribution Details</t>
  </si>
  <si>
    <t>Nuclear Existing</t>
  </si>
  <si>
    <t>Hydro existing South Africa</t>
  </si>
  <si>
    <t>Empl. (Tx+HQ)</t>
  </si>
  <si>
    <t>000 empl./GW</t>
  </si>
  <si>
    <t>Empl. (Tx only)</t>
  </si>
  <si>
    <t>GW</t>
  </si>
  <si>
    <t>Transmission Capacity</t>
  </si>
  <si>
    <t>Model 2050</t>
  </si>
  <si>
    <t>Hydro Existing Region</t>
  </si>
  <si>
    <t>OCGT liquid fuels Existing</t>
  </si>
  <si>
    <t>This Study</t>
  </si>
  <si>
    <t>Combined 2012</t>
  </si>
  <si>
    <t>Munics 2012</t>
  </si>
  <si>
    <t>Eskom 2012</t>
  </si>
  <si>
    <t>Sasol SSF</t>
  </si>
  <si>
    <t>Eskom Optimal staffing vision in 2019</t>
  </si>
  <si>
    <t>Sasol Infrachem</t>
  </si>
  <si>
    <t>Distribution</t>
  </si>
  <si>
    <t>New build</t>
  </si>
  <si>
    <t>Eskom Rotek</t>
  </si>
  <si>
    <t>Finance+HR</t>
  </si>
  <si>
    <t>Other corporate</t>
  </si>
  <si>
    <t>Tx+Other Corporate</t>
  </si>
  <si>
    <t>Transmission</t>
  </si>
  <si>
    <t>Generation</t>
  </si>
  <si>
    <t>ROOIWAL</t>
  </si>
  <si>
    <t>Head Office/other</t>
  </si>
  <si>
    <t>From NERSA</t>
  </si>
  <si>
    <t>PRETORIA WEST</t>
  </si>
  <si>
    <t>KELVIN B</t>
  </si>
  <si>
    <t>KELVIN A</t>
  </si>
  <si>
    <t>Other (Tx+Head office)</t>
  </si>
  <si>
    <t>TUTUKA</t>
  </si>
  <si>
    <t>MATLA</t>
  </si>
  <si>
    <t>Eskom (Gx+ Other)</t>
  </si>
  <si>
    <t>MATIMBA</t>
  </si>
  <si>
    <t>MAJUBA WET</t>
  </si>
  <si>
    <t>Eskom Distribution</t>
  </si>
  <si>
    <t>MAJUBA DRY</t>
  </si>
  <si>
    <t>Munics</t>
  </si>
  <si>
    <t>LETHABO</t>
  </si>
  <si>
    <t>Total Employed at Eskom</t>
  </si>
  <si>
    <t>KRIEL</t>
  </si>
  <si>
    <t>KENDAL</t>
  </si>
  <si>
    <t>HENDRINA</t>
  </si>
  <si>
    <t>base</t>
  </si>
  <si>
    <t>nat</t>
  </si>
  <si>
    <t>flab-t</t>
  </si>
  <si>
    <t>DUVHA</t>
  </si>
  <si>
    <t>flab-s</t>
  </si>
  <si>
    <t>ARNOT</t>
  </si>
  <si>
    <t>flab-m</t>
  </si>
  <si>
    <t>KOMATI</t>
  </si>
  <si>
    <t>flab-p</t>
  </si>
  <si>
    <t>GROOTVLEI</t>
  </si>
  <si>
    <t>CAMDEN</t>
  </si>
  <si>
    <t>Total employed in electricity sector:</t>
  </si>
  <si>
    <t>From SAM</t>
  </si>
  <si>
    <t>Will use this</t>
  </si>
  <si>
    <t>Tutuka</t>
  </si>
  <si>
    <t>jobs</t>
  </si>
  <si>
    <t>Medupi</t>
  </si>
  <si>
    <t>Matla</t>
  </si>
  <si>
    <t>Matimba</t>
  </si>
  <si>
    <t>This seems too low</t>
  </si>
  <si>
    <t>Eskom</t>
  </si>
  <si>
    <t>jobs/TWh</t>
  </si>
  <si>
    <t>jobs/GW/yr</t>
  </si>
  <si>
    <t>Employees</t>
  </si>
  <si>
    <t>Majuba</t>
  </si>
  <si>
    <t>EIA_2017</t>
  </si>
  <si>
    <t>McKinsey/IEP</t>
  </si>
  <si>
    <t>http://www.energy.gov.za/files/IEP/2016/IEP-AnnexureB-Macroeconomic-Assumptions.pdf</t>
  </si>
  <si>
    <t>Lethabo</t>
  </si>
  <si>
    <t>REIPPP round 3</t>
  </si>
  <si>
    <t>REIPPP round 1,2</t>
  </si>
  <si>
    <t>Kusile</t>
  </si>
  <si>
    <t>Nuclear</t>
  </si>
  <si>
    <t>Coal</t>
  </si>
  <si>
    <t>Wind</t>
  </si>
  <si>
    <t>PV</t>
  </si>
  <si>
    <t>jobs/GW</t>
  </si>
  <si>
    <t>http://www.eskom.co.za/Whatweredoing/ElectricityGeneration/KoebergNuclearPowerStation/TheKoebergExperience/Pages/The_Koeberg_Experience.aspx</t>
  </si>
  <si>
    <t>Kriel</t>
  </si>
  <si>
    <t>Summary</t>
  </si>
  <si>
    <t>Komati</t>
  </si>
  <si>
    <t>CSP average (round 1-3)</t>
  </si>
  <si>
    <t>Wind average (round 1-3)</t>
  </si>
  <si>
    <t>Kendal</t>
  </si>
  <si>
    <t>PV average (round 1-2)</t>
  </si>
  <si>
    <t>Hendrina</t>
  </si>
  <si>
    <t>CSP</t>
  </si>
  <si>
    <t>Grootvlei</t>
  </si>
  <si>
    <t>Duvha</t>
  </si>
  <si>
    <t>Camden</t>
  </si>
  <si>
    <t>Arnot</t>
  </si>
  <si>
    <t>Job years/GW</t>
  </si>
  <si>
    <t>Jobs/TWh</t>
  </si>
  <si>
    <t>TWh</t>
  </si>
  <si>
    <t>Capacity Factor</t>
  </si>
  <si>
    <t>MW</t>
  </si>
  <si>
    <t>O&amp;M Jobs</t>
  </si>
  <si>
    <t>Job years/TWh</t>
  </si>
  <si>
    <t>Cumul TWh</t>
  </si>
  <si>
    <t>Annual Jobs/TWh</t>
  </si>
  <si>
    <t>Annual TWh</t>
  </si>
  <si>
    <t>Annual O&amp;M Jobs/GW</t>
  </si>
  <si>
    <t>Life</t>
  </si>
  <si>
    <t>O&amp;M job years /GW</t>
  </si>
  <si>
    <t>O&amp;M job years</t>
  </si>
  <si>
    <t>Tech</t>
  </si>
  <si>
    <t>BWR</t>
  </si>
  <si>
    <t>Total Electricity Sector</t>
  </si>
  <si>
    <t>Dist.Other</t>
  </si>
  <si>
    <t>Dist.Industry</t>
  </si>
  <si>
    <t>Dist.Commerce</t>
  </si>
  <si>
    <t>Dist.Residential</t>
  </si>
  <si>
    <t>Total Distribution</t>
  </si>
  <si>
    <t>Toral Transmission &amp; other corporate</t>
  </si>
  <si>
    <t>Other</t>
  </si>
  <si>
    <t>Capacity GW</t>
  </si>
  <si>
    <t>Satimviz subsubsector</t>
  </si>
  <si>
    <t>Total Generation</t>
  </si>
  <si>
    <t>Empl.Intensity (000 empl./GW)</t>
  </si>
  <si>
    <t>Capacity (GW)</t>
  </si>
  <si>
    <t>Employment ('000)</t>
  </si>
  <si>
    <t>Summary Table for report</t>
  </si>
  <si>
    <t>Table 7.1 from Tobias's book.</t>
  </si>
  <si>
    <t>Target Total</t>
  </si>
  <si>
    <t>Edist</t>
  </si>
  <si>
    <t>Etrans</t>
  </si>
  <si>
    <t>000</t>
  </si>
  <si>
    <t>Power Sector shares</t>
  </si>
  <si>
    <t>FOM model</t>
  </si>
  <si>
    <t>FOM R/kW</t>
  </si>
  <si>
    <t>FOM</t>
  </si>
  <si>
    <t>Total wage bill</t>
  </si>
  <si>
    <t>Capacity</t>
  </si>
  <si>
    <t>Check</t>
  </si>
  <si>
    <t>Coefficient</t>
  </si>
  <si>
    <t>total</t>
  </si>
  <si>
    <t>row</t>
  </si>
  <si>
    <t>dstk</t>
  </si>
  <si>
    <t>s-e</t>
  </si>
  <si>
    <t>s-i</t>
  </si>
  <si>
    <t>utax-ch</t>
  </si>
  <si>
    <t>utax-cl</t>
  </si>
  <si>
    <t>utax</t>
  </si>
  <si>
    <t>stax</t>
  </si>
  <si>
    <t>mtax</t>
  </si>
  <si>
    <t>dtax</t>
  </si>
  <si>
    <t>atax</t>
  </si>
  <si>
    <t>gov</t>
  </si>
  <si>
    <t>hhd-95</t>
  </si>
  <si>
    <t>hhd-94</t>
  </si>
  <si>
    <t>hhd-93</t>
  </si>
  <si>
    <t>hhd-92</t>
  </si>
  <si>
    <t>hhd-91</t>
  </si>
  <si>
    <t>hhd-8</t>
  </si>
  <si>
    <t>hhd-7</t>
  </si>
  <si>
    <t>hhd-6</t>
  </si>
  <si>
    <t>hhd-5</t>
  </si>
  <si>
    <t>hhd-4</t>
  </si>
  <si>
    <t>hhd-3</t>
  </si>
  <si>
    <t>hhd-2</t>
  </si>
  <si>
    <t>hhd-1</t>
  </si>
  <si>
    <t>hhd-0</t>
  </si>
  <si>
    <t>ent-e</t>
  </si>
  <si>
    <t>ent-n</t>
  </si>
  <si>
    <t>fegy</t>
  </si>
  <si>
    <t>fcap</t>
  </si>
  <si>
    <t>trc</t>
  </si>
  <si>
    <t>cimpt</t>
  </si>
  <si>
    <t>cosrv</t>
  </si>
  <si>
    <t>cgsrv</t>
  </si>
  <si>
    <t>cbsrv</t>
  </si>
  <si>
    <t>cfsrv</t>
  </si>
  <si>
    <t>ccomm</t>
  </si>
  <si>
    <t>ctrps</t>
  </si>
  <si>
    <t>cftrp-o</t>
  </si>
  <si>
    <t>cptrp-o</t>
  </si>
  <si>
    <t>cftrp-l</t>
  </si>
  <si>
    <t>cptrp-l</t>
  </si>
  <si>
    <t>chotl</t>
  </si>
  <si>
    <t>ctrad</t>
  </si>
  <si>
    <t>ccons</t>
  </si>
  <si>
    <t>cwatr</t>
  </si>
  <si>
    <t>celec</t>
  </si>
  <si>
    <t>coman</t>
  </si>
  <si>
    <t>cfurn</t>
  </si>
  <si>
    <t>ctequ</t>
  </si>
  <si>
    <t>cvehi</t>
  </si>
  <si>
    <t>csequ</t>
  </si>
  <si>
    <t>cemch</t>
  </si>
  <si>
    <t>cmach</t>
  </si>
  <si>
    <t>cmetp</t>
  </si>
  <si>
    <t>cnfrm</t>
  </si>
  <si>
    <t>ciron</t>
  </si>
  <si>
    <t>cnmet</t>
  </si>
  <si>
    <t>cglas</t>
  </si>
  <si>
    <t>cplas</t>
  </si>
  <si>
    <t>crubb</t>
  </si>
  <si>
    <t>cochm</t>
  </si>
  <si>
    <t>cbchm</t>
  </si>
  <si>
    <t>cpetr_o</t>
  </si>
  <si>
    <t>cpetr_d</t>
  </si>
  <si>
    <t>cpetr_p</t>
  </si>
  <si>
    <t>cprnt</t>
  </si>
  <si>
    <t>cpapr</t>
  </si>
  <si>
    <t>cwood</t>
  </si>
  <si>
    <t>cfoot</t>
  </si>
  <si>
    <t>cleat</t>
  </si>
  <si>
    <t>cclth</t>
  </si>
  <si>
    <t>ctext</t>
  </si>
  <si>
    <t>cbevt</t>
  </si>
  <si>
    <t>cfood</t>
  </si>
  <si>
    <t>chydr</t>
  </si>
  <si>
    <t>cngas</t>
  </si>
  <si>
    <t>ccoil</t>
  </si>
  <si>
    <t>cmine</t>
  </si>
  <si>
    <t>cmore</t>
  </si>
  <si>
    <t>ccoal-hgh</t>
  </si>
  <si>
    <t>ccoal-low</t>
  </si>
  <si>
    <t>cfish</t>
  </si>
  <si>
    <t>cfore</t>
  </si>
  <si>
    <t>cagri</t>
  </si>
  <si>
    <t>aosrv</t>
  </si>
  <si>
    <t>agsrv</t>
  </si>
  <si>
    <t>absrv</t>
  </si>
  <si>
    <t>afsrv</t>
  </si>
  <si>
    <t>acomm</t>
  </si>
  <si>
    <t>altrp-f</t>
  </si>
  <si>
    <t>altrp-p</t>
  </si>
  <si>
    <t>atrps</t>
  </si>
  <si>
    <t>aatrp</t>
  </si>
  <si>
    <t>awtrp</t>
  </si>
  <si>
    <t>ahotl</t>
  </si>
  <si>
    <t>atrad</t>
  </si>
  <si>
    <t>acons</t>
  </si>
  <si>
    <t>awatr</t>
  </si>
  <si>
    <t>aelec</t>
  </si>
  <si>
    <t>aoman</t>
  </si>
  <si>
    <t>afurn</t>
  </si>
  <si>
    <t>atequ</t>
  </si>
  <si>
    <t>avehi</t>
  </si>
  <si>
    <t>asequ</t>
  </si>
  <si>
    <t>aemch</t>
  </si>
  <si>
    <t>amach</t>
  </si>
  <si>
    <t>ametp</t>
  </si>
  <si>
    <t>anfrm</t>
  </si>
  <si>
    <t>airon</t>
  </si>
  <si>
    <t>anmet</t>
  </si>
  <si>
    <t>aglas</t>
  </si>
  <si>
    <t>aplas</t>
  </si>
  <si>
    <t>arubb</t>
  </si>
  <si>
    <t>aochm</t>
  </si>
  <si>
    <t>abchm</t>
  </si>
  <si>
    <t>apetr</t>
  </si>
  <si>
    <t>aprnt</t>
  </si>
  <si>
    <t>apapr</t>
  </si>
  <si>
    <t>awood</t>
  </si>
  <si>
    <t>afoot</t>
  </si>
  <si>
    <t>aleat</t>
  </si>
  <si>
    <t>aclth</t>
  </si>
  <si>
    <t>atext</t>
  </si>
  <si>
    <t>abevt</t>
  </si>
  <si>
    <t>afood</t>
  </si>
  <si>
    <t>ahydr</t>
  </si>
  <si>
    <t>angas</t>
  </si>
  <si>
    <t>acoil</t>
  </si>
  <si>
    <t>amine</t>
  </si>
  <si>
    <t>amore</t>
  </si>
  <si>
    <t>agold</t>
  </si>
  <si>
    <t>acoal</t>
  </si>
  <si>
    <t>afish</t>
  </si>
  <si>
    <t>afore</t>
  </si>
  <si>
    <t>aagri</t>
  </si>
  <si>
    <t>QA_ELC</t>
  </si>
  <si>
    <t>iva_ELC</t>
  </si>
  <si>
    <t>IFA_ELC</t>
  </si>
  <si>
    <t>avg</t>
  </si>
  <si>
    <t>SAM check [bR]</t>
  </si>
  <si>
    <t>QF*WF*WFDist [bR]</t>
  </si>
  <si>
    <t>WF*WFDist</t>
  </si>
  <si>
    <t>WFDist_aelec (wage distortion factor)</t>
  </si>
  <si>
    <t>WF (avg wage rate) [mR/empl./year]</t>
  </si>
  <si>
    <t>QFX_aelec (Labour supply ['000 employees])</t>
  </si>
  <si>
    <t>From 2012 Model</t>
  </si>
  <si>
    <t>From BCG report 2021</t>
  </si>
  <si>
    <t>aelec-die</t>
  </si>
  <si>
    <t>aelec-gas</t>
  </si>
  <si>
    <t>aelec-was</t>
  </si>
  <si>
    <t>aelec-geo</t>
  </si>
  <si>
    <t>aelec-wnd</t>
  </si>
  <si>
    <t>aelec-sth</t>
  </si>
  <si>
    <t>aelec-spv</t>
  </si>
  <si>
    <t>aelec-sol</t>
  </si>
  <si>
    <t>aelec-hyd</t>
  </si>
  <si>
    <t>aelec-nuc</t>
  </si>
  <si>
    <t>aelec-coa</t>
  </si>
  <si>
    <t>Kalie Techs - Shares</t>
  </si>
  <si>
    <t>Kallie Techs</t>
  </si>
  <si>
    <t>aelec-clw</t>
  </si>
  <si>
    <t>aelec-cds</t>
  </si>
  <si>
    <t>Previous SAM shares</t>
  </si>
  <si>
    <t>Previous SAM Final VA</t>
  </si>
  <si>
    <t>ETCLEPFD-E-A</t>
  </si>
  <si>
    <t>ETCLEMED-N-A</t>
  </si>
  <si>
    <t>ETCLESC-N</t>
  </si>
  <si>
    <t>ETCLEROOI-E</t>
  </si>
  <si>
    <t>ETCLEPRET-E</t>
  </si>
  <si>
    <t>ETCLEKELA-E</t>
  </si>
  <si>
    <t>ETCLEIG-N</t>
  </si>
  <si>
    <t>Eps</t>
  </si>
  <si>
    <t>resid</t>
  </si>
  <si>
    <t>ETGRNCC-I</t>
  </si>
  <si>
    <t>ETCRBSCMO-I</t>
  </si>
  <si>
    <t>ETCRBSCBO-I</t>
  </si>
  <si>
    <t>ERHYDM-I</t>
  </si>
  <si>
    <t>ERHYDK-I</t>
  </si>
  <si>
    <t>ERHYDI-I</t>
  </si>
  <si>
    <t>ERHYDH-I</t>
  </si>
  <si>
    <t>ERHYDGIE-I</t>
  </si>
  <si>
    <t>ERHYDF-I</t>
  </si>
  <si>
    <t>ERHYDB-I</t>
  </si>
  <si>
    <t>ETGASCCSS-N</t>
  </si>
  <si>
    <t>COST_INV(2012)</t>
  </si>
  <si>
    <t>Target</t>
  </si>
  <si>
    <t>Scaled ACT_COST</t>
  </si>
  <si>
    <t>ACT_COST</t>
  </si>
  <si>
    <t>SCALED ACT_COST</t>
  </si>
  <si>
    <t>Unscaled ACT_COST (VOM)</t>
  </si>
  <si>
    <t>NCAP_FOM (unit cost)</t>
  </si>
  <si>
    <t>Scaled Total FOM</t>
  </si>
  <si>
    <t>Unscaled total FOM</t>
  </si>
  <si>
    <t>Unscaled FOM (unit cost)</t>
  </si>
  <si>
    <t>Scaled NCAP_COST</t>
  </si>
  <si>
    <t>Scaled GOS</t>
  </si>
  <si>
    <t>Unscaled GOS</t>
  </si>
  <si>
    <t>CRF</t>
  </si>
  <si>
    <t>LIFE</t>
  </si>
  <si>
    <t>RESID</t>
  </si>
  <si>
    <t>Unscaled NCAP_COST</t>
  </si>
  <si>
    <t>Scaled FOM</t>
  </si>
  <si>
    <t>Scaled NCAP_FOM (unit cost)</t>
  </si>
  <si>
    <t>INV</t>
  </si>
  <si>
    <t>CAP_2012</t>
  </si>
  <si>
    <t>NCAP_COST</t>
  </si>
  <si>
    <t>Discount</t>
  </si>
  <si>
    <t>Scaling</t>
  </si>
  <si>
    <t>Dx (incl.Munics)</t>
  </si>
  <si>
    <t>Tx + other corporate</t>
  </si>
  <si>
    <t>Gx</t>
  </si>
  <si>
    <t>Other split into 3 and added to components</t>
  </si>
  <si>
    <t>Distribution scaled up using non-Eskom distribution</t>
  </si>
  <si>
    <t>Transmission + Corporate</t>
  </si>
  <si>
    <t>Tx</t>
  </si>
  <si>
    <t>Generation scaled up using non-Eskom capacity</t>
  </si>
  <si>
    <t>Restructured from Table Above</t>
  </si>
  <si>
    <t>GWh</t>
  </si>
  <si>
    <t>NERSA 2012 (table 6.5) (Munics - own use)</t>
  </si>
  <si>
    <t>non-eskom</t>
  </si>
  <si>
    <t>NERSA 2012 (table 6.5) (Eskom - own use - redistributors)</t>
  </si>
  <si>
    <t>Total Capacity</t>
  </si>
  <si>
    <t>NERSA 2012 (Table 3.2, Eskom Net Maximum Power)</t>
  </si>
  <si>
    <t>NERSA 2012 (Table 3.2, Munics Net Maximum Power)</t>
  </si>
  <si>
    <t>Non-Eskom</t>
  </si>
  <si>
    <t>Generation Capacity</t>
  </si>
  <si>
    <t>mR</t>
  </si>
  <si>
    <t>Total net maintenance (Rm)</t>
  </si>
  <si>
    <t>Capitalised</t>
  </si>
  <si>
    <t>Consulting fees included in gross</t>
  </si>
  <si>
    <t>Manpower included in gross</t>
  </si>
  <si>
    <t>Total gross costs (Rm)</t>
  </si>
  <si>
    <t>Corporate</t>
  </si>
  <si>
    <t>Eskom MYPD3 Table 23: gross maintenance costs per division</t>
  </si>
  <si>
    <t>Source</t>
  </si>
  <si>
    <t>2012/13</t>
  </si>
  <si>
    <t>R/kWh</t>
  </si>
  <si>
    <t>Avg Unit cost (2012 Rands)</t>
  </si>
  <si>
    <t>Avg Unit cost (2015 Rands)</t>
  </si>
  <si>
    <t>Units</t>
  </si>
  <si>
    <t>1.172 (conversion from 2012-&gt;2015)</t>
  </si>
  <si>
    <t>Fuel (2015 Rands)</t>
  </si>
  <si>
    <t>2012 SAM</t>
  </si>
  <si>
    <t>Fuel (incl.tra-coal) (2012 Rands)</t>
  </si>
  <si>
    <t>Dx</t>
  </si>
  <si>
    <t>Tx+other corporate</t>
  </si>
  <si>
    <t>Other Operating Costs (2015 Rands)</t>
  </si>
  <si>
    <t>Other Operating Costs (2012 Rands)</t>
  </si>
  <si>
    <t>GOS (2015 Rands)</t>
  </si>
  <si>
    <t>GOS (2012 Rands)</t>
  </si>
  <si>
    <t>Edist_Residential</t>
  </si>
  <si>
    <t>Edist_Agriculture</t>
  </si>
  <si>
    <t>Edist_Industry</t>
  </si>
  <si>
    <t>Edist_Commercial</t>
  </si>
  <si>
    <t>Edist_Transport</t>
  </si>
  <si>
    <t>~TFM_INS-TS</t>
  </si>
  <si>
    <t>PSET_Set</t>
  </si>
  <si>
    <t>NCAP_COM</t>
  </si>
  <si>
    <t>NCAP_ICOM</t>
  </si>
  <si>
    <t>Commodity</t>
  </si>
  <si>
    <t>Ecoal</t>
  </si>
  <si>
    <t>IN</t>
  </si>
  <si>
    <t>Other_Indexes</t>
  </si>
  <si>
    <t>Plant</t>
  </si>
  <si>
    <t>Average Coal</t>
  </si>
  <si>
    <t>Koeberg</t>
  </si>
  <si>
    <t>*</t>
  </si>
  <si>
    <t>Cement</t>
  </si>
  <si>
    <t>Aluminium</t>
  </si>
  <si>
    <t>Copper</t>
  </si>
  <si>
    <t>Zinc</t>
  </si>
  <si>
    <t>Plastic</t>
  </si>
  <si>
    <t>Steel</t>
  </si>
  <si>
    <t>Glass</t>
  </si>
  <si>
    <t>SiliconWafer</t>
  </si>
  <si>
    <t>tons/MW (kton/GW)</t>
  </si>
  <si>
    <t>EPV_RfTp</t>
  </si>
  <si>
    <t>Bulk Materials</t>
  </si>
  <si>
    <t>Rand/ton</t>
  </si>
  <si>
    <t>Critical Materials</t>
  </si>
  <si>
    <t>iron and steel</t>
  </si>
  <si>
    <t>metal products</t>
  </si>
  <si>
    <t>non ferrous metals</t>
  </si>
  <si>
    <t>plastics</t>
  </si>
  <si>
    <t>machinery</t>
  </si>
  <si>
    <t>scientific equipment</t>
  </si>
  <si>
    <t>electrical machinery</t>
  </si>
  <si>
    <t>non metallic minerals</t>
  </si>
  <si>
    <t>Direct Inputs (iwts)</t>
  </si>
  <si>
    <t>Indirect via acons_e</t>
  </si>
  <si>
    <t>ccons_e</t>
  </si>
  <si>
    <t>cmach_e</t>
  </si>
  <si>
    <t>cemch_e</t>
  </si>
  <si>
    <t>Total R/kW</t>
  </si>
  <si>
    <t>Actual R/kW</t>
  </si>
  <si>
    <t>Balance R/kW</t>
  </si>
  <si>
    <t>ccmnt</t>
  </si>
  <si>
    <t>cement</t>
  </si>
  <si>
    <t>Indirect via amach_e</t>
  </si>
  <si>
    <t>Share of total</t>
  </si>
  <si>
    <t>R/kW</t>
  </si>
  <si>
    <t>Reference</t>
  </si>
  <si>
    <t>construction_energy</t>
  </si>
  <si>
    <t>machinery_energy</t>
  </si>
  <si>
    <t>electrical machinery_Energy</t>
  </si>
  <si>
    <t>something weird with silicon - IEA has 3.8Tons/MW.</t>
  </si>
  <si>
    <t>Activity Inputs</t>
  </si>
  <si>
    <t>NREL</t>
  </si>
  <si>
    <t>SAREM-concrete</t>
  </si>
  <si>
    <t>SAREM-steel</t>
  </si>
  <si>
    <t>4-hr duration</t>
  </si>
  <si>
    <t>https://atb.nrel.gov/electricity/2022/utility-scale_battery_storage</t>
  </si>
  <si>
    <t>Util Battery</t>
  </si>
  <si>
    <t>Services</t>
  </si>
  <si>
    <t>Install labour and equipment</t>
  </si>
  <si>
    <t>Electrical BOS+inverter</t>
  </si>
  <si>
    <t>Structural BOS</t>
  </si>
  <si>
    <t>Inverter</t>
  </si>
  <si>
    <t>https://www.nrel.gov/docs/fy23osti/84774.pdf</t>
  </si>
  <si>
    <t>Module</t>
  </si>
  <si>
    <t>PV rooftop</t>
  </si>
  <si>
    <t>PV Util</t>
  </si>
  <si>
    <t>https://www.nrel.gov/docs/fy21osti/77324.pdf</t>
  </si>
  <si>
    <t>Design, engineering, permitting</t>
  </si>
  <si>
    <t>PV inverter</t>
  </si>
  <si>
    <t>Supply Chain, overhead margin</t>
  </si>
  <si>
    <t>Direct Labour</t>
  </si>
  <si>
    <t>Electrical BOS</t>
  </si>
  <si>
    <t>PV Module</t>
  </si>
  <si>
    <t>CGE sectors</t>
  </si>
  <si>
    <t>seia</t>
  </si>
  <si>
    <t>Utility Tracking</t>
  </si>
  <si>
    <t>cpetr-h</t>
  </si>
  <si>
    <t>cpetr-d</t>
  </si>
  <si>
    <t>seia.org</t>
  </si>
  <si>
    <t>http://www2.seia.org/SMI-ES</t>
  </si>
  <si>
    <t>business services</t>
  </si>
  <si>
    <t>NREL util</t>
  </si>
  <si>
    <t>NREL rooftop</t>
  </si>
  <si>
    <t>TechDesc</t>
  </si>
  <si>
    <t>ETCLEMEDU-N</t>
  </si>
  <si>
    <t>MEDUPI</t>
  </si>
  <si>
    <t>ETCLEKUSI-N</t>
  </si>
  <si>
    <t>KUSILE</t>
  </si>
  <si>
    <t>ETCLEWATE-N</t>
  </si>
  <si>
    <t>Generic Waterberg Coal Plant</t>
  </si>
  <si>
    <t>ETCLE-CCS-N</t>
  </si>
  <si>
    <t>Generic Waterberg Coal Plant with CCS</t>
  </si>
  <si>
    <t>EPTSTO-N</t>
  </si>
  <si>
    <t>Pumped Storage New Ingula - Single Storage Tech</t>
  </si>
  <si>
    <t>Fluidised Bed Combustion Coal</t>
  </si>
  <si>
    <t>ETNUC-N</t>
  </si>
  <si>
    <t>Nuclear Mid</t>
  </si>
  <si>
    <t>ERSOLTC09-N</t>
  </si>
  <si>
    <t>Solar Central Receiver 09 hrs storage</t>
  </si>
  <si>
    <t>ERSOLPCF-N</t>
  </si>
  <si>
    <t>Solar PV Fixed</t>
  </si>
  <si>
    <t>ERSOLPCT-N</t>
  </si>
  <si>
    <t>Solar PV tracking</t>
  </si>
  <si>
    <t>ERWNDH-N</t>
  </si>
  <si>
    <t>ETGICGT-N</t>
  </si>
  <si>
    <t>Open Cycle Gas Turbine - LNG</t>
  </si>
  <si>
    <t>ETHGNGT-N</t>
  </si>
  <si>
    <t>Hydrogen Turbine or FuelCell</t>
  </si>
  <si>
    <t>ETGICCC-N</t>
  </si>
  <si>
    <t>Combined Cycle Gas Turbine - LNG</t>
  </si>
  <si>
    <t>ETGICCC-CCS-N</t>
  </si>
  <si>
    <t>Combined Cycle Gas Turbine - LNG with CCS</t>
  </si>
  <si>
    <t>ETGICEN-N</t>
  </si>
  <si>
    <t>Gas Engines - LNG</t>
  </si>
  <si>
    <t>ERBIO-N</t>
  </si>
  <si>
    <t>Biomass municipal waste</t>
  </si>
  <si>
    <t>ERBIG-N</t>
  </si>
  <si>
    <t>Landfill gas</t>
  </si>
  <si>
    <t>ESTSUTL</t>
  </si>
  <si>
    <t>Utility Scale Storage - 4hrs</t>
  </si>
  <si>
    <t>PSET_PN</t>
  </si>
  <si>
    <t>total sans labour</t>
  </si>
  <si>
    <t>Machinary</t>
  </si>
  <si>
    <t>Electrical machinery</t>
  </si>
  <si>
    <t xml:space="preserve">Labour </t>
  </si>
  <si>
    <t>Concrete</t>
  </si>
  <si>
    <t>Used in Model</t>
  </si>
  <si>
    <t>Metal Products</t>
  </si>
  <si>
    <t>Imported stuff</t>
  </si>
  <si>
    <t>Labour</t>
  </si>
  <si>
    <t>Local sectors</t>
  </si>
  <si>
    <t>including labour</t>
  </si>
  <si>
    <t>Wind tower - steel</t>
  </si>
  <si>
    <t>N</t>
  </si>
  <si>
    <t>Y</t>
  </si>
  <si>
    <t>Wind - Concrete tower</t>
  </si>
  <si>
    <t>To R/kW (2021)</t>
  </si>
  <si>
    <t>Sector</t>
  </si>
  <si>
    <t>Local content</t>
  </si>
  <si>
    <t>Wind - Steel tower</t>
  </si>
  <si>
    <t xml:space="preserve">not too sure what to do with these. </t>
  </si>
  <si>
    <t>SIC code: 2811= manufacture of engines and turbines</t>
  </si>
  <si>
    <t xml:space="preserve">Assuming this is the blade itself. </t>
  </si>
  <si>
    <t>Blades</t>
  </si>
  <si>
    <t xml:space="preserve">Assumed same as transformer </t>
  </si>
  <si>
    <t xml:space="preserve">Assumed </t>
  </si>
  <si>
    <t xml:space="preserve">Not sure this is right remap sector. </t>
  </si>
  <si>
    <t>Foundation</t>
  </si>
  <si>
    <t>Comment</t>
  </si>
  <si>
    <t>Cost in SA (US$)</t>
  </si>
  <si>
    <t>Premium to be paid if sourced from SA (%)</t>
  </si>
  <si>
    <t>Applied Labour cost premium</t>
  </si>
  <si>
    <t xml:space="preserve">Comparison to China or Europe? </t>
  </si>
  <si>
    <t>Labour costs in a sector using SAM tech coefficients</t>
  </si>
  <si>
    <t>New Sector name</t>
  </si>
  <si>
    <t xml:space="preserve">Sector </t>
  </si>
  <si>
    <t>Local content estimate (%)</t>
  </si>
  <si>
    <t xml:space="preserve">Can be locally sourced? </t>
  </si>
  <si>
    <t>Current cost of imported component (US$)</t>
  </si>
  <si>
    <t>Average cost breakdown</t>
  </si>
  <si>
    <t>Component</t>
  </si>
  <si>
    <t>Category</t>
  </si>
  <si>
    <t>Scenario</t>
  </si>
  <si>
    <t xml:space="preserve">Bryce: I assume it's not part of the original work under the 'Tower' entries since the steel tower didn’t have any non-metallic minerals sector needed. </t>
  </si>
  <si>
    <t>this section was not part of the SAREM spreadsheet. Have added it here as it's a large consumer of concrete and rebar (steel)</t>
  </si>
  <si>
    <t xml:space="preserve">BMc: it appeared that the original data didn’t have the concrete and steel for the foundations. Have added this in. </t>
  </si>
  <si>
    <t>For IMAGINE project on representing localisation in CGE</t>
  </si>
  <si>
    <t>Summarise all into one table</t>
  </si>
  <si>
    <t xml:space="preserve">for Concrete </t>
  </si>
  <si>
    <t>BOP</t>
  </si>
  <si>
    <t>For Rebar (steel)</t>
  </si>
  <si>
    <t>$/kW</t>
  </si>
  <si>
    <t>Assign to sector:</t>
  </si>
  <si>
    <t>Summary cost calculations</t>
  </si>
  <si>
    <t xml:space="preserve">Steel </t>
  </si>
  <si>
    <t>Tower (without foundation)</t>
  </si>
  <si>
    <t>tonnes / MW</t>
  </si>
  <si>
    <t>From [3] - tonnage of materials used</t>
  </si>
  <si>
    <t>Method:</t>
  </si>
  <si>
    <t>share of concrete that is cement</t>
  </si>
  <si>
    <t>R/USD</t>
  </si>
  <si>
    <t>$/tonne</t>
  </si>
  <si>
    <t>$/kg</t>
  </si>
  <si>
    <t>total per tonne price:</t>
  </si>
  <si>
    <t xml:space="preserve">per tonne for concrete readymix </t>
  </si>
  <si>
    <t>R/kg of cement less VAT</t>
  </si>
  <si>
    <t>per m3</t>
  </si>
  <si>
    <t>cm3</t>
  </si>
  <si>
    <t>volume of this rebar price</t>
  </si>
  <si>
    <t>g.cm3 density of conrete</t>
  </si>
  <si>
    <t>kg bag</t>
  </si>
  <si>
    <t>less VAT</t>
  </si>
  <si>
    <t>per bag</t>
  </si>
  <si>
    <t>g/cm3</t>
  </si>
  <si>
    <t>Steel denisty:</t>
  </si>
  <si>
    <t>per 25m3</t>
  </si>
  <si>
    <t>PPC surebuild</t>
  </si>
  <si>
    <t>NO VAT</t>
  </si>
  <si>
    <t xml:space="preserve">per 6500mm x 12mm </t>
  </si>
  <si>
    <t>[ref]</t>
  </si>
  <si>
    <t>https://www.royalconcreteslabs.co.za/2020/12/09/what-does-ready-mix-concrete-cost-in-johannesburg-gauteng/</t>
  </si>
  <si>
    <t>Builders warehouse website</t>
  </si>
  <si>
    <t>https://steelonline.co.za/product/reinforcing-y-bar-12mm/</t>
  </si>
  <si>
    <t>Cement and concrete</t>
  </si>
  <si>
    <t>Rebar</t>
  </si>
  <si>
    <t>add: Foundation</t>
  </si>
  <si>
    <t>Based on the selection of the above - either average or only one of the options</t>
  </si>
  <si>
    <t>To be used in calculations</t>
  </si>
  <si>
    <t>Source: https://www.nrel.gov/docs/fy19osti/73585.pdf</t>
  </si>
  <si>
    <t>This cost is per kW and FOB</t>
  </si>
  <si>
    <t>Unit cost - imported (secondary data)</t>
  </si>
  <si>
    <t>TOTAL</t>
  </si>
  <si>
    <t>Unit cost - imported (engagements)</t>
  </si>
  <si>
    <t>Cost of capital</t>
  </si>
  <si>
    <t>Maintenance costs</t>
  </si>
  <si>
    <t>%</t>
  </si>
  <si>
    <t>GVA component</t>
  </si>
  <si>
    <t>Building costs</t>
  </si>
  <si>
    <t>Premium paid for a local product</t>
  </si>
  <si>
    <t>Tooling costs</t>
  </si>
  <si>
    <t>R</t>
  </si>
  <si>
    <t xml:space="preserve">Unit cost - manufactured locally </t>
  </si>
  <si>
    <t>US$</t>
  </si>
  <si>
    <t>Equipment costs</t>
  </si>
  <si>
    <t>https://www.tradeandindustrydev.com/industry/manufacturing/vestas-wind-systems-as-windsor-brighton-pueblo-colorado-2363</t>
  </si>
  <si>
    <t>2019 Cost of Wind Energy Review (nrel.gov)</t>
  </si>
  <si>
    <t>US$/kW</t>
  </si>
  <si>
    <t>Unit cost - imported FOB</t>
  </si>
  <si>
    <t>Unit cost - imported</t>
  </si>
  <si>
    <t>Utility costs</t>
  </si>
  <si>
    <t>Wind Energy Localisation Study (2015)</t>
  </si>
  <si>
    <t>No</t>
  </si>
  <si>
    <t xml:space="preserve">Number of jobs in a factory </t>
  </si>
  <si>
    <t>C</t>
  </si>
  <si>
    <t>Overhead labour costs</t>
  </si>
  <si>
    <t>units of blades</t>
  </si>
  <si>
    <t>400 MW</t>
  </si>
  <si>
    <t>1 800 blades</t>
  </si>
  <si>
    <t>Units per year</t>
  </si>
  <si>
    <t>Production capacity</t>
  </si>
  <si>
    <t>kWp</t>
  </si>
  <si>
    <t>Labour cost</t>
  </si>
  <si>
    <t>US$180 m</t>
  </si>
  <si>
    <t>32m-35m</t>
  </si>
  <si>
    <t>€</t>
  </si>
  <si>
    <t xml:space="preserve">Capital cost to set up a factory </t>
  </si>
  <si>
    <t>Material cost</t>
  </si>
  <si>
    <t>https://www.windpowerengineering.com/suzlon-inaugurates-new-aerodynamic-blade-manufacturing-facility/</t>
  </si>
  <si>
    <t xml:space="preserve">Range </t>
  </si>
  <si>
    <t>Unit</t>
  </si>
  <si>
    <t xml:space="preserve">Data derived from secondary sources </t>
  </si>
  <si>
    <t xml:space="preserve">Data derived from engagements </t>
  </si>
  <si>
    <t xml:space="preserve">Sector: </t>
  </si>
  <si>
    <t xml:space="preserve">Unit: </t>
  </si>
  <si>
    <t xml:space="preserve">Component: </t>
  </si>
  <si>
    <t xml:space="preserve">Source: </t>
  </si>
  <si>
    <t>Source: https://www.osti.gov/servlets/purl/1087161</t>
  </si>
  <si>
    <t>This cost is per kW</t>
  </si>
  <si>
    <t>No local prices have been obtained.</t>
  </si>
  <si>
    <t>This price should maybe be considered as a proxy for imported prices.</t>
  </si>
  <si>
    <t>E</t>
  </si>
  <si>
    <t>General machinery</t>
  </si>
  <si>
    <t>Rotor Hub</t>
  </si>
  <si>
    <t>Other/Misc. (assume labour is included here)</t>
  </si>
  <si>
    <t>Monitoring System</t>
  </si>
  <si>
    <t>Fasterners</t>
  </si>
  <si>
    <t>Nacelle Cover</t>
  </si>
  <si>
    <t>Auxiliary System</t>
  </si>
  <si>
    <t>Yaw Bearing</t>
  </si>
  <si>
    <t>Yaw System</t>
  </si>
  <si>
    <t>Control System</t>
  </si>
  <si>
    <t>Cables</t>
  </si>
  <si>
    <t>Power Transformer</t>
  </si>
  <si>
    <t>Power Converter</t>
  </si>
  <si>
    <t xml:space="preserve">units </t>
  </si>
  <si>
    <t>tower</t>
  </si>
  <si>
    <t>800 MW</t>
  </si>
  <si>
    <t>Generator</t>
  </si>
  <si>
    <t>units</t>
  </si>
  <si>
    <t>blades</t>
  </si>
  <si>
    <t>Gearbox</t>
  </si>
  <si>
    <t>2 MW</t>
  </si>
  <si>
    <t>nacelle</t>
  </si>
  <si>
    <t>https://www1.eere.energy.gov/wind/pdfs/us_offshore_wind_supply_chain_and_manufacturing_development.pdf</t>
  </si>
  <si>
    <t>Main shaft</t>
  </si>
  <si>
    <t>1 400 nacelles</t>
  </si>
  <si>
    <t>MW/year</t>
  </si>
  <si>
    <t>Main bearing</t>
  </si>
  <si>
    <t>exchange rate</t>
  </si>
  <si>
    <t>US$110 m</t>
  </si>
  <si>
    <t>It is indicated in the Wind Energy Localisation Study that the CAPEX per facility is R70-R130 million (230 jobs per facility). Requires R60m upscale to expand facility for Nacelle castings and forgings. Requires minimum demand of 400MW pa per OEM.</t>
  </si>
  <si>
    <t>Bedplate</t>
  </si>
  <si>
    <t>rupees</t>
  </si>
  <si>
    <t>crore</t>
  </si>
  <si>
    <t>Inox wind</t>
  </si>
  <si>
    <t>Nacelle</t>
  </si>
  <si>
    <t>Assuming that the cost of precast concrete is 80% of the cost of steel towers</t>
  </si>
  <si>
    <t>Mw</t>
  </si>
  <si>
    <t>Tower - concrete</t>
  </si>
  <si>
    <t>This is per kW and FOB</t>
  </si>
  <si>
    <t xml:space="preserve">jobs </t>
  </si>
  <si>
    <t>towers</t>
  </si>
  <si>
    <t>1 000 towers</t>
  </si>
  <si>
    <t>https://www.gri.com.es/en/noticia/gri-renewable-industries-inaugura-su-nueva-fabrica-de-torres-eolicas-en-sudafrica/</t>
  </si>
  <si>
    <t>US$25m</t>
  </si>
  <si>
    <t>US$240 m</t>
  </si>
  <si>
    <t>It is inidcated in the Wind Energy Localisation Study that DCD Towers comissioned the establishment of a manufcaturing facility worth R300m in 2013 (no indication of production capacity). However, total production capacity was 110  towers per year at the time.</t>
  </si>
  <si>
    <t>Current cost of imported component (US$/kW)</t>
  </si>
  <si>
    <t>Basic iron and steel</t>
  </si>
  <si>
    <t>Tower - steel</t>
  </si>
  <si>
    <t xml:space="preserve">Utility-scale wind </t>
  </si>
  <si>
    <t xml:space="preserve">Total cost </t>
  </si>
  <si>
    <t>Tower fabrication as % of total tower cost</t>
  </si>
  <si>
    <t>Ratio - conxrete vs steel cost</t>
  </si>
  <si>
    <t xml:space="preserve">Subtotal </t>
  </si>
  <si>
    <t>Tower concrete fabrication</t>
  </si>
  <si>
    <t>Shop fabrication of steel tube and flange rings</t>
  </si>
  <si>
    <t>100m</t>
  </si>
  <si>
    <t>Height</t>
  </si>
  <si>
    <t>Turbine size</t>
  </si>
  <si>
    <t>concrete towerr</t>
  </si>
  <si>
    <t>steel tower</t>
  </si>
  <si>
    <t>Cost of turbine: https://www.nrel.gov/docs/fy05osti/36777.pdf</t>
  </si>
  <si>
    <t>US/kW</t>
  </si>
  <si>
    <t>https://www.nrel.gov/docs/fy21osti/78471.pdf</t>
  </si>
  <si>
    <t>US/kw</t>
  </si>
  <si>
    <t>https://www.nrel.gov/docs/fy20osti/74598.pdf</t>
  </si>
  <si>
    <t>Euro/kW</t>
  </si>
  <si>
    <t>https://www.nrel.gov/docs/fy19osti/71844.pdf</t>
  </si>
  <si>
    <t>Cost - US/kw CIF</t>
  </si>
  <si>
    <t>Cost - US/kw FOB</t>
  </si>
  <si>
    <t>Cost</t>
  </si>
  <si>
    <t>Hub height</t>
  </si>
  <si>
    <t>Cost of turbine (FOB):</t>
  </si>
  <si>
    <t>Ncalle - interior</t>
  </si>
  <si>
    <t>Nacelle - drivetrain</t>
  </si>
  <si>
    <t>Nacelle + hub</t>
  </si>
  <si>
    <t>Other - screws and cables</t>
  </si>
  <si>
    <t>Nacelle-exterior</t>
  </si>
  <si>
    <t>Hydrolic and cooling system</t>
  </si>
  <si>
    <t>Mainfraim</t>
  </si>
  <si>
    <t>Yaw system</t>
  </si>
  <si>
    <t>Brake system</t>
  </si>
  <si>
    <t>variable speed electronics</t>
  </si>
  <si>
    <t>Power inverter</t>
  </si>
  <si>
    <t>Tranformer</t>
  </si>
  <si>
    <t>Nacelle - interior</t>
  </si>
  <si>
    <t>Rotor bearings</t>
  </si>
  <si>
    <t>Nose cone</t>
  </si>
  <si>
    <t>Pitch system assembly</t>
  </si>
  <si>
    <t>Rotor hub assembly</t>
  </si>
  <si>
    <t>Hub</t>
  </si>
  <si>
    <t>Nacelle asssembly</t>
  </si>
  <si>
    <t>Blade</t>
  </si>
  <si>
    <t xml:space="preserve"> </t>
  </si>
  <si>
    <t>US$/KW</t>
  </si>
  <si>
    <t>US$/MW</t>
  </si>
  <si>
    <t>Steel turbine 3.6MW, 100m</t>
  </si>
  <si>
    <t>WE localisation based on IRENA 2012</t>
  </si>
  <si>
    <t xml:space="preserve">Cost estimation </t>
  </si>
  <si>
    <t xml:space="preserve">SA labour costs </t>
  </si>
  <si>
    <t xml:space="preserve">US labour costs </t>
  </si>
  <si>
    <t xml:space="preserve">Europe labour costs </t>
  </si>
  <si>
    <t xml:space="preserve">China labour costs </t>
  </si>
  <si>
    <t>https://www.freightwaves.com/news/shipping-wind-turbines-is-not-a-breeze</t>
  </si>
  <si>
    <t xml:space="preserve">US100k for long-haul shipments  per turbine </t>
  </si>
  <si>
    <t>FOB to CIF - cost of transportation</t>
  </si>
  <si>
    <t>Rand/Euro exchange</t>
  </si>
  <si>
    <t>Calculated</t>
  </si>
  <si>
    <t>USD/Euro exchange</t>
  </si>
  <si>
    <t>Reserve Bank (april 2021)</t>
  </si>
  <si>
    <t>Rand/USD exchange</t>
  </si>
  <si>
    <t xml:space="preserve">Key assumptions </t>
  </si>
  <si>
    <t>TOTAL -  using concrete tower</t>
  </si>
  <si>
    <t>TOTAL - using steel</t>
  </si>
  <si>
    <t>1 400 units</t>
  </si>
  <si>
    <t>300 MW</t>
  </si>
  <si>
    <t>800-1300</t>
  </si>
  <si>
    <t>3000-5000</t>
  </si>
  <si>
    <t>US$160 - 240 m</t>
  </si>
  <si>
    <t xml:space="preserve">GDP component </t>
  </si>
  <si>
    <t>Adjusted for SA productivity/relative labour cost</t>
  </si>
  <si>
    <t xml:space="preserve">Number of jobs </t>
  </si>
  <si>
    <t>Equivalent MW using 3 MW turbine</t>
  </si>
  <si>
    <t xml:space="preserve">Production capacity </t>
  </si>
  <si>
    <t>Cost of setting up a facility (US'm)</t>
  </si>
  <si>
    <t>Premium RE: incl shipment to SA</t>
  </si>
  <si>
    <t>Premium RE: excl shipment to SA</t>
  </si>
  <si>
    <t>Localised cost</t>
  </si>
  <si>
    <t>Imported cost - including shipment to SA</t>
  </si>
  <si>
    <t>Imported cost - excluding shipment to SA</t>
  </si>
  <si>
    <t xml:space="preserve">Components </t>
  </si>
  <si>
    <t xml:space="preserve">Other data </t>
  </si>
  <si>
    <t xml:space="preserve">Engagements </t>
  </si>
  <si>
    <t>Bottom up calculation - US$/kW</t>
  </si>
  <si>
    <t xml:space="preserve">Dashboard </t>
  </si>
  <si>
    <t>weighting</t>
  </si>
  <si>
    <t>Normalised</t>
  </si>
  <si>
    <t>Manufacturing</t>
  </si>
  <si>
    <t>Assuming this is module</t>
  </si>
  <si>
    <t xml:space="preserve">Structural metal </t>
  </si>
  <si>
    <t>Imported Cell</t>
  </si>
  <si>
    <t>Local Cell</t>
  </si>
  <si>
    <t>Non-metallic minerals</t>
  </si>
  <si>
    <t>Publishing</t>
  </si>
  <si>
    <t>Renting of machinery</t>
  </si>
  <si>
    <t>Recycling and NEC</t>
  </si>
  <si>
    <t>The remaining imported stuff</t>
  </si>
  <si>
    <t>Local stuff</t>
  </si>
  <si>
    <t xml:space="preserve">Imported Cell - PV module </t>
  </si>
  <si>
    <t>ZAR/Wp (2021)</t>
  </si>
  <si>
    <t>Value $/Wp</t>
  </si>
  <si>
    <t xml:space="preserve">Local Cell - PV module </t>
  </si>
  <si>
    <t>Electrical machinary</t>
  </si>
  <si>
    <t>labelled 'admin' in components</t>
  </si>
  <si>
    <t>labour</t>
  </si>
  <si>
    <t>was labelled '0'</t>
  </si>
  <si>
    <t>Profit</t>
  </si>
  <si>
    <t xml:space="preserve">I don’t think this is 'NNM' sector. More like electronics sector that uses consumes wires etc. </t>
  </si>
  <si>
    <t>assumed labour</t>
  </si>
  <si>
    <t>renting of junction boxes?</t>
  </si>
  <si>
    <t>see above</t>
  </si>
  <si>
    <t>https://www.amazon.in/SunString-Solar-Cell-Tabbing-Wire/dp/B017A32JA8</t>
  </si>
  <si>
    <t xml:space="preserve">this is a type of copper wire that's coated with solder. </t>
  </si>
  <si>
    <t xml:space="preserve">Some kind of polymer </t>
  </si>
  <si>
    <t>https://www.eco-greenenergy.com/what-is-the-eva/</t>
  </si>
  <si>
    <t>Ethelene vinyl acetate plastic coating for protection</t>
  </si>
  <si>
    <t>probably SIC 35411 - manufacturing of metal structures or parts thereof</t>
  </si>
  <si>
    <t>this module uses cost of solar cell from above item 'solar cell'</t>
  </si>
  <si>
    <t>not clear what Recycling and NEC is. SIC code is probably 2610 - manufacture of electronic components and boards</t>
  </si>
  <si>
    <t>Comment about sector</t>
  </si>
  <si>
    <t>Sector change name to:</t>
  </si>
  <si>
    <t>adjusted by shipping</t>
  </si>
  <si>
    <t>Assembly, production and testing</t>
  </si>
  <si>
    <t>Armour (steel)</t>
  </si>
  <si>
    <t>Insulation (polymers)</t>
  </si>
  <si>
    <t>Conductors (copper rods ,aluminium rods)</t>
  </si>
  <si>
    <t>Notes</t>
  </si>
  <si>
    <t xml:space="preserve">Utility scale </t>
  </si>
  <si>
    <t xml:space="preserve">BoS -  cabling </t>
  </si>
  <si>
    <t>per W</t>
  </si>
  <si>
    <t>Admin</t>
  </si>
  <si>
    <t xml:space="preserve">Profit </t>
  </si>
  <si>
    <t>Engineering cost</t>
  </si>
  <si>
    <t>Overheads</t>
  </si>
  <si>
    <t>Labour - direct and ind</t>
  </si>
  <si>
    <t xml:space="preserve">Fabricated parts </t>
  </si>
  <si>
    <t>Carbon steel</t>
  </si>
  <si>
    <t>Insulation</t>
  </si>
  <si>
    <t xml:space="preserve">for breakdown costs </t>
  </si>
  <si>
    <t>Windgings - copper or al</t>
  </si>
  <si>
    <t>https://citeseerx.ist.psu.edu/viewdoc/download?doi=10.1.1.1005.692&amp;rep=rep1&amp;type=pdf</t>
  </si>
  <si>
    <t>https://www.projectstoday.com/News/KEL-to-commission-power-transformer-manufacturing-plant</t>
  </si>
  <si>
    <t>1.7 m</t>
  </si>
  <si>
    <t>Magnetic steel</t>
  </si>
  <si>
    <t>Utility scale</t>
  </si>
  <si>
    <t xml:space="preserve">Transformer </t>
  </si>
  <si>
    <t xml:space="preserve">Job multiplier </t>
  </si>
  <si>
    <t>adjusted by margin of 15%</t>
  </si>
  <si>
    <t>GVA per SAM</t>
  </si>
  <si>
    <t>GVA</t>
  </si>
  <si>
    <t>per R1m</t>
  </si>
  <si>
    <t xml:space="preserve">job multiplier </t>
  </si>
  <si>
    <t>convert into MW</t>
  </si>
  <si>
    <t>kW</t>
  </si>
  <si>
    <t>convert into W</t>
  </si>
  <si>
    <t>watt</t>
  </si>
  <si>
    <t>R0.5 - 0.75</t>
  </si>
  <si>
    <t>US</t>
  </si>
  <si>
    <t>Asseembly, Production and Testing</t>
  </si>
  <si>
    <t>w</t>
  </si>
  <si>
    <t>unit</t>
  </si>
  <si>
    <t>http://pvinsights.com/RetailerPrice.php</t>
  </si>
  <si>
    <t>https://www.nrel.gov/docs/fy19osti/73363.pdf</t>
  </si>
  <si>
    <t>Smith etal, 2019</t>
  </si>
  <si>
    <t>Printed Circuit Board/Misc Parts</t>
  </si>
  <si>
    <t>Rand</t>
  </si>
  <si>
    <t xml:space="preserve">cost per unit </t>
  </si>
  <si>
    <t>Enclosure and Packaging</t>
  </si>
  <si>
    <t>cost per unit</t>
  </si>
  <si>
    <t xml:space="preserve">Power Stage and Power Electronics </t>
  </si>
  <si>
    <t>R'm</t>
  </si>
  <si>
    <t>Magnetics and Transformers</t>
  </si>
  <si>
    <t>To calculate the jobs using SAM</t>
  </si>
  <si>
    <t xml:space="preserve">Range and source </t>
  </si>
  <si>
    <t>Wp</t>
  </si>
  <si>
    <t xml:space="preserve">Inverter - central </t>
  </si>
  <si>
    <t>50 amp</t>
  </si>
  <si>
    <t>150V 50Amp</t>
  </si>
  <si>
    <t>100V 40Amp</t>
  </si>
  <si>
    <t>100 V30Amp</t>
  </si>
  <si>
    <t xml:space="preserve">premnium </t>
  </si>
  <si>
    <t>imported</t>
  </si>
  <si>
    <t>local</t>
  </si>
  <si>
    <t>Epsolar Xtra 30A MPPT Charge Controller - 12V/24V with LCD</t>
  </si>
  <si>
    <t>per unit</t>
  </si>
  <si>
    <t>Voltronic Power SCC-MPPT 3KW Solar Charge Controller - 60 amp</t>
  </si>
  <si>
    <t>Microcare 40 Amp Lcd Mppt Charge Controller</t>
  </si>
  <si>
    <t xml:space="preserve">
Microcare 60 Amp Breakerless Lcd Mppt Charge Controller</t>
  </si>
  <si>
    <t>Epsolar Tracer 5415AN 50A Mppt 150V Charge Controller - 12 24 36 48V-50A</t>
  </si>
  <si>
    <t>Epsolar Tracer 4210AN 40A Mppt 100V Charge Controller - 12 24V-40A</t>
  </si>
  <si>
    <t>Epsolar Etracer 6415BND 150V 60A Mppt Charge Controller - 12V 24V 48V</t>
  </si>
  <si>
    <t>Victron Blue Solar 100V 30A Mppt Charge Controller</t>
  </si>
  <si>
    <t>Victron Blue Solar 150V 35A Mppt Charge Controller</t>
  </si>
  <si>
    <t>Victron Smartsolar 150V 45A Mppt Charge Controller</t>
  </si>
  <si>
    <t>Victron Smartsolar 100V 50A Mppt Charge Controller</t>
  </si>
  <si>
    <t>https://www.pricecheck.co.za/search?search=mppt+charge+controller</t>
  </si>
  <si>
    <t>Victron Smartsolar 100V 30A Mppt Charge Controller</t>
  </si>
  <si>
    <t>Microcare 30 Amp</t>
  </si>
  <si>
    <t>Price</t>
  </si>
  <si>
    <t xml:space="preserve">Source </t>
  </si>
  <si>
    <t xml:space="preserve">Secondary data </t>
  </si>
  <si>
    <t xml:space="preserve">Mostly important/significant for residential PV systems to regualte the charging of a battery </t>
  </si>
  <si>
    <t xml:space="preserve">Commercial </t>
  </si>
  <si>
    <t>Charge controllers</t>
  </si>
  <si>
    <t>Adjusted for shipping</t>
  </si>
  <si>
    <t>Unit cost - imported  to be used</t>
  </si>
  <si>
    <t>:Price info derived from sec source: Chinese manuf prices on Alibaba - https://www.alibaba.com/showroom/single-axis-solar-tracker-price.html</t>
  </si>
  <si>
    <t>China producer price for single axis tracker</t>
  </si>
  <si>
    <t xml:space="preserve">GreenCape study </t>
  </si>
  <si>
    <t>R1.20/W</t>
  </si>
  <si>
    <t>NREL - https://www.pv-magazine.com/2020/09/22/us-solar-racking-industry-now-innovating-consolidating/</t>
  </si>
  <si>
    <t>CIF</t>
  </si>
  <si>
    <t>PV Study</t>
  </si>
  <si>
    <t>50-60</t>
  </si>
  <si>
    <t>0.02/W</t>
  </si>
  <si>
    <t>https://renewablesnow.com/news/chinese-powerway-to-build-mounting-structure-factories-in-s-africa-174576/</t>
  </si>
  <si>
    <t>Tooling</t>
  </si>
  <si>
    <t>Mounting structures</t>
  </si>
  <si>
    <t>mounting  hardware</t>
  </si>
  <si>
    <t>single axis tracker</t>
  </si>
  <si>
    <t>To get break down for single axis tracker system since the price comparisons are based on a single axis tracker sytem</t>
  </si>
  <si>
    <t>Utility -scale</t>
  </si>
  <si>
    <t>Mounting hardware</t>
  </si>
  <si>
    <t xml:space="preserve">http://pvinsights.com/ </t>
  </si>
  <si>
    <t>Woodhouse etal</t>
  </si>
  <si>
    <t>0.20 - 0.25</t>
  </si>
  <si>
    <t>China - FOB</t>
  </si>
  <si>
    <t xml:space="preserve">
Sustainable Energy Technologies and Assessments 43 (2021) 100945
</t>
  </si>
  <si>
    <t>https://www.nrel.gov/extranet/trp/pdfs/20111020_solar_goodrich_thin_film_next_gen.pdf</t>
  </si>
  <si>
    <t>0.064/W</t>
  </si>
  <si>
    <t>Influence by calculation?</t>
  </si>
  <si>
    <t>Can be locally sourced?</t>
  </si>
  <si>
    <t xml:space="preserve">Glass </t>
  </si>
  <si>
    <t>Utility and commercial</t>
  </si>
  <si>
    <t>PV module - using imported cell</t>
  </si>
  <si>
    <t>US$5-6 m</t>
  </si>
  <si>
    <t>PV module - using locally produced cell</t>
  </si>
  <si>
    <t>per Wp</t>
  </si>
  <si>
    <t>https://www.nrel.gov/docs/fy19osti/72134.pdf</t>
  </si>
  <si>
    <t>China prod cost</t>
  </si>
  <si>
    <t>https://www.nrel.gov/docs/fy12osti/53938.pdf</t>
  </si>
  <si>
    <t>0.096/W</t>
  </si>
  <si>
    <t>US40 - 80 m</t>
  </si>
  <si>
    <t>Cell only</t>
  </si>
  <si>
    <t>Solar cell</t>
  </si>
  <si>
    <t xml:space="preserve">Commercial and Utility-scale Solar PV </t>
  </si>
  <si>
    <t xml:space="preserve">TOTAL module </t>
  </si>
  <si>
    <t>Transormer</t>
  </si>
  <si>
    <t>Conduit</t>
  </si>
  <si>
    <t xml:space="preserve">Steel racking </t>
  </si>
  <si>
    <t>Pv module ex racking</t>
  </si>
  <si>
    <t xml:space="preserve">Non material costs </t>
  </si>
  <si>
    <t>Junction box</t>
  </si>
  <si>
    <t>Tabbing</t>
  </si>
  <si>
    <t>Backsheets</t>
  </si>
  <si>
    <t>EVA</t>
  </si>
  <si>
    <t>Al frame</t>
  </si>
  <si>
    <t>Silicon cell</t>
  </si>
  <si>
    <t xml:space="preserve">295 module </t>
  </si>
  <si>
    <t xml:space="preserve">TOTAL </t>
  </si>
  <si>
    <t>Construction</t>
  </si>
  <si>
    <t>Steel racking</t>
  </si>
  <si>
    <t>Engineering</t>
  </si>
  <si>
    <t xml:space="preserve">Maintenance </t>
  </si>
  <si>
    <t>Metering</t>
  </si>
  <si>
    <t>Rest</t>
  </si>
  <si>
    <t>Depreciation</t>
  </si>
  <si>
    <t>Protection and switches</t>
  </si>
  <si>
    <t>Charge controller</t>
  </si>
  <si>
    <t>Energy</t>
  </si>
  <si>
    <t>Battery</t>
  </si>
  <si>
    <t xml:space="preserve">remaining cost </t>
  </si>
  <si>
    <t>Wiring</t>
  </si>
  <si>
    <t>Metalzation</t>
  </si>
  <si>
    <t>other materials</t>
  </si>
  <si>
    <t>Mounting &amp; structures</t>
  </si>
  <si>
    <t>Wafer processing</t>
  </si>
  <si>
    <t>Metalisation</t>
  </si>
  <si>
    <t>Silicon</t>
  </si>
  <si>
    <t>Silicon wafers</t>
  </si>
  <si>
    <t>PV Modules</t>
  </si>
  <si>
    <t xml:space="preserve">Crystalline Module </t>
  </si>
  <si>
    <t>US$/W</t>
  </si>
  <si>
    <t>60 MW plant - china</t>
  </si>
  <si>
    <t xml:space="preserve">295 W module </t>
  </si>
  <si>
    <t>Max</t>
  </si>
  <si>
    <t>Min</t>
  </si>
  <si>
    <t>&gt;500kWp (R/kWp)</t>
  </si>
  <si>
    <t>Utility</t>
  </si>
  <si>
    <t>Comm/Industrial</t>
  </si>
  <si>
    <t>GreenCape 2020</t>
  </si>
  <si>
    <t>2013 PV study</t>
  </si>
  <si>
    <t xml:space="preserve">Cost estimations </t>
  </si>
  <si>
    <t>Shipping cost for china-US - 7%, adjusted by the days (US - 15/20 days, SA - 25-30 days)</t>
  </si>
  <si>
    <t>Shipping costs premium to SA from China</t>
  </si>
  <si>
    <t>Shipping cost premium to SA from US</t>
  </si>
  <si>
    <t>Total using imported cell</t>
  </si>
  <si>
    <t>Total using locally produced cell</t>
  </si>
  <si>
    <t>BOS (solar PV)</t>
  </si>
  <si>
    <t>Transformer</t>
  </si>
  <si>
    <t>150,000 kWp</t>
  </si>
  <si>
    <t>US$7 m</t>
  </si>
  <si>
    <t>Inverter - central (solar PV)</t>
  </si>
  <si>
    <t>US$10 m</t>
  </si>
  <si>
    <t>200,000 kWp</t>
  </si>
  <si>
    <t>2400-2900</t>
  </si>
  <si>
    <t>1,000,000 kWp</t>
  </si>
  <si>
    <t>US$40-160</t>
  </si>
  <si>
    <t xml:space="preserve">Cost of setting up a facility </t>
  </si>
  <si>
    <t>ERSOLPRA-N</t>
  </si>
  <si>
    <t>Solar PV rooftop Agriculture</t>
  </si>
  <si>
    <t>ERSOLPRM-N</t>
  </si>
  <si>
    <t>Solar PV rooftop Mining</t>
  </si>
  <si>
    <t>ERSOLPRC-N</t>
  </si>
  <si>
    <t>Solar PV rooftop commercial</t>
  </si>
  <si>
    <t>ERSOLPRR-N</t>
  </si>
  <si>
    <t>Solar PV rooftop residential</t>
  </si>
  <si>
    <t>ERSOLPRI-N</t>
  </si>
  <si>
    <t>Solar PV rooftop Industry</t>
  </si>
  <si>
    <t>SAREM-imported</t>
  </si>
  <si>
    <t>SAREM-local</t>
  </si>
  <si>
    <t>Perhaps the way to connect the material with the activities is to add a mining sector for each "raw" commodity such as copper, and to disagregate other commodities such as glass out of non-ferrous metals in the cge</t>
  </si>
  <si>
    <t>For materials we don't produce enough or not at all, then add them to the list of commodities we import</t>
  </si>
  <si>
    <t>So disaggegating the mining and metal ores sectors in the CGE. We can also do like with energy commodities and use price to turn money flows into tons.</t>
  </si>
  <si>
    <t>Then we'd some kind of multiplier analysis on the "raw material" for the main inputs for investment: ccons_e, cmach_e, cemach_e.</t>
  </si>
  <si>
    <t>Then we’d need to have a vector for these main inputs for each tech type, and follow the same approach as done for main inputs. This vector would require a bit of an iterative process to hit more or less the same material inputs we get from IEA etc…</t>
  </si>
  <si>
    <t>Then we'd have to see whether the capital and labour requirements of the main inputs are adequate to turn the raw material into the machinery that is required for the different tech types, and adjust those coefficients accordingly.</t>
  </si>
  <si>
    <t>Batteries</t>
  </si>
  <si>
    <t>capul</t>
  </si>
  <si>
    <t>caoce</t>
  </si>
  <si>
    <t>cmeat</t>
  </si>
  <si>
    <t>cawhe</t>
  </si>
  <si>
    <t>cpetr-l</t>
  </si>
  <si>
    <t>caoth</t>
  </si>
  <si>
    <t>cconc</t>
  </si>
  <si>
    <t>cpetr-k</t>
  </si>
  <si>
    <t>caoil</t>
  </si>
  <si>
    <t>camai</t>
  </si>
  <si>
    <t>cammo</t>
  </si>
  <si>
    <t>casug</t>
  </si>
  <si>
    <t>catub</t>
  </si>
  <si>
    <t>caveg</t>
  </si>
  <si>
    <t>cagra</t>
  </si>
  <si>
    <t>caofr</t>
  </si>
  <si>
    <t>cpgm</t>
  </si>
  <si>
    <t>cumul</t>
  </si>
  <si>
    <t>ica('aemach_e')</t>
  </si>
  <si>
    <t>ica('amach_e')</t>
  </si>
  <si>
    <t>ica('acons_e')</t>
  </si>
  <si>
    <t>iwts('s-e')</t>
  </si>
  <si>
    <t>Overnight cost breakdown standardized according to IAEA TCIC account system</t>
  </si>
  <si>
    <t>Table 1. Model inputs: central values</t>
  </si>
  <si>
    <t>acc #</t>
  </si>
  <si>
    <t>UBS</t>
  </si>
  <si>
    <t>EPRI</t>
  </si>
  <si>
    <t>UE 80+</t>
  </si>
  <si>
    <t>WEC</t>
  </si>
  <si>
    <t>Model input: share by sub-component</t>
  </si>
  <si>
    <t>Input check: share of total</t>
  </si>
  <si>
    <t>Total cost ($/kW)</t>
  </si>
  <si>
    <t>Base costs - EPC costs</t>
  </si>
  <si>
    <t>Direct costs</t>
  </si>
  <si>
    <t>Buildings and structures at the plant site</t>
  </si>
  <si>
    <t>Reactor Plant equipment</t>
  </si>
  <si>
    <t>Turbine generator plant equipment</t>
  </si>
  <si>
    <t>Electrical equipment and I&amp;C plant equipment</t>
  </si>
  <si>
    <t>Water intake and heat rejection system</t>
  </si>
  <si>
    <t>Miscellaneous plant equipment</t>
  </si>
  <si>
    <t>Commissioning</t>
  </si>
  <si>
    <t>36,39</t>
  </si>
  <si>
    <t>Indirect costs</t>
  </si>
  <si>
    <t>Construction services</t>
  </si>
  <si>
    <t>34,35,38</t>
  </si>
  <si>
    <t>30,32</t>
  </si>
  <si>
    <t>Project management</t>
  </si>
  <si>
    <t>31,33</t>
  </si>
  <si>
    <t>Field supervision and startup, simulation and training</t>
  </si>
  <si>
    <t>28,37,40</t>
  </si>
  <si>
    <t>Owners costs</t>
  </si>
  <si>
    <t>Supplementary costs (risk contingency, insurance)</t>
  </si>
  <si>
    <t>Capital Cost Estimates for Utility Scale Electricity Generating Plants</t>
  </si>
  <si>
    <t>EIA 2016</t>
  </si>
  <si>
    <t>Table 8-2</t>
  </si>
  <si>
    <t>Conventional Natural Gas Turbine</t>
  </si>
  <si>
    <t>Ultra-supercritical coal</t>
  </si>
  <si>
    <t>Nominal capacity</t>
  </si>
  <si>
    <t>702,000 kW</t>
  </si>
  <si>
    <t>Capital Cost Category</t>
  </si>
  <si>
    <t>(000s) (January 1, 2016$)</t>
  </si>
  <si>
    <t>Civil Structural Material and Installation</t>
  </si>
  <si>
    <t>Mechanical Equipment Supply and Installation</t>
  </si>
  <si>
    <t>Electrical / I&amp;C Supply and Installation</t>
  </si>
  <si>
    <t>Project Indirects (1)</t>
  </si>
  <si>
    <t>EPC Cost before Contingency and Fee</t>
  </si>
  <si>
    <t>Fee and Contingency</t>
  </si>
  <si>
    <t>Total Project EPC</t>
  </si>
  <si>
    <t>Owner Costs (excluding project finance)</t>
  </si>
  <si>
    <t>Total Project Cost (excluding finance)</t>
  </si>
  <si>
    <t>/ kW</t>
  </si>
  <si>
    <t>Owner Costs 20% (excluding project finance)</t>
  </si>
  <si>
    <t>Total Project Cost (excluding project finance)</t>
  </si>
  <si>
    <t>Transmission lines</t>
  </si>
  <si>
    <t>Economic Analysis of Power Transmission Lines using Interval Mathematics</t>
  </si>
  <si>
    <t>http://dx.doi.org/10.5370/JEET.2015.10.4.1472</t>
  </si>
  <si>
    <t>Table 1</t>
  </si>
  <si>
    <t>Units: INR/km with 1USD = 63INR</t>
  </si>
  <si>
    <t>in 2022USD / km</t>
  </si>
  <si>
    <t>132kV</t>
  </si>
  <si>
    <t>220kV</t>
  </si>
  <si>
    <t>400kV</t>
  </si>
  <si>
    <t>Published in 2015</t>
  </si>
  <si>
    <t>OHTL</t>
  </si>
  <si>
    <t>Overhead</t>
  </si>
  <si>
    <t>Contingency</t>
  </si>
  <si>
    <t>Site work</t>
  </si>
  <si>
    <t>developer overhead</t>
  </si>
  <si>
    <t>Towers and foundations</t>
  </si>
  <si>
    <t>Conductor &amp; Hardware</t>
  </si>
  <si>
    <t>to 2022USD</t>
  </si>
  <si>
    <t>EPC overhead</t>
  </si>
  <si>
    <t>Earthwire &amp; Hardware</t>
  </si>
  <si>
    <t>INR to USD</t>
  </si>
  <si>
    <t>EPC/developer profit</t>
  </si>
  <si>
    <t>Accessories</t>
  </si>
  <si>
    <t>USD2015 to 2022</t>
  </si>
  <si>
    <t>Installation, labour and equipment</t>
  </si>
  <si>
    <t>interconnection fee</t>
  </si>
  <si>
    <t>Sales tax</t>
  </si>
  <si>
    <t>Land</t>
  </si>
  <si>
    <t>Permitting tax</t>
  </si>
  <si>
    <t>UGTL</t>
  </si>
  <si>
    <t>Sale tax</t>
  </si>
  <si>
    <t>Ducts</t>
  </si>
  <si>
    <t>Cable &amp; Hardware</t>
  </si>
  <si>
    <t>Compensating equipment</t>
  </si>
  <si>
    <t>IEA ETP2023</t>
  </si>
  <si>
    <t>Figure 1.9</t>
  </si>
  <si>
    <t>Critical minerals</t>
  </si>
  <si>
    <t>lithium</t>
  </si>
  <si>
    <t>Nickel</t>
  </si>
  <si>
    <t>Manganese</t>
  </si>
  <si>
    <t>Cobalt</t>
  </si>
  <si>
    <t>Graphite</t>
  </si>
  <si>
    <t>Rare earths</t>
  </si>
  <si>
    <t>Platinum</t>
  </si>
  <si>
    <t>other</t>
  </si>
  <si>
    <t>Natural gas</t>
  </si>
  <si>
    <t>Solar PV</t>
  </si>
  <si>
    <t>Onshore wind</t>
  </si>
  <si>
    <t>Offshore wind</t>
  </si>
  <si>
    <t>Bulk materials</t>
  </si>
  <si>
    <t>kg/MW/km</t>
  </si>
  <si>
    <t>H2 Pipes</t>
  </si>
  <si>
    <t>Overhead AC trans</t>
  </si>
  <si>
    <t>HV-DC trans</t>
  </si>
  <si>
    <t>Distribution cable</t>
  </si>
  <si>
    <t>not familiar with these techs, but these numbers seem a bit low</t>
  </si>
  <si>
    <t xml:space="preserve">Bulk materials </t>
  </si>
  <si>
    <t>Transport (kg/mw)</t>
  </si>
  <si>
    <t>copper</t>
  </si>
  <si>
    <t>nickel</t>
  </si>
  <si>
    <t>mangansese</t>
  </si>
  <si>
    <t>cobalt</t>
  </si>
  <si>
    <t>graphite</t>
  </si>
  <si>
    <t>silicon</t>
  </si>
  <si>
    <t>rare earths</t>
  </si>
  <si>
    <t>platinum </t>
  </si>
  <si>
    <t>other critical </t>
  </si>
  <si>
    <t>Aluminimum</t>
  </si>
  <si>
    <t>Cement </t>
  </si>
  <si>
    <t>Plastic </t>
  </si>
  <si>
    <t>light blue</t>
  </si>
  <si>
    <t>light green</t>
  </si>
  <si>
    <t>green </t>
  </si>
  <si>
    <t>dark blue</t>
  </si>
  <si>
    <t>lilac</t>
  </si>
  <si>
    <t>red</t>
  </si>
  <si>
    <t>ochre</t>
  </si>
  <si>
    <t>yellow</t>
  </si>
  <si>
    <t>fuel cell truck</t>
  </si>
  <si>
    <t>ICE truck</t>
  </si>
  <si>
    <t>battery eletric car</t>
  </si>
  <si>
    <t>ICE car</t>
  </si>
  <si>
    <t>Hydrogen production (kg/mw)</t>
  </si>
  <si>
    <t>PEM</t>
  </si>
  <si>
    <t>Alkaline</t>
  </si>
  <si>
    <t>Gas-CCS H2</t>
  </si>
  <si>
    <t>https://www.concawe.eu/wp-content/uploads/Battery-raw-materials-article.pdf</t>
  </si>
  <si>
    <t>Power generation (kg/MW)</t>
  </si>
  <si>
    <t>Nuclear </t>
  </si>
  <si>
    <t>Infrastructure ( kg, Mw, km)</t>
  </si>
  <si>
    <t>Distoribution cable</t>
  </si>
  <si>
    <t>HV-DC transmission cable</t>
  </si>
  <si>
    <t>OVerhead AC transmission line</t>
  </si>
  <si>
    <t>H2 pipelines</t>
  </si>
  <si>
    <t>building heating (kg/kW)</t>
  </si>
  <si>
    <t>heat pump</t>
  </si>
  <si>
    <t>gas boiler</t>
  </si>
  <si>
    <t>Mix (UBS, WEC, UE+80 - see nuclear sheet)</t>
  </si>
  <si>
    <t>Need to update</t>
  </si>
  <si>
    <t>SAREM/NREL - see below</t>
  </si>
  <si>
    <t>EIA</t>
  </si>
  <si>
    <t>ETRANS</t>
  </si>
  <si>
    <t>dummy tech tracking investment costs</t>
  </si>
  <si>
    <t xml:space="preserve">Agriculatural Electricity                         </t>
  </si>
  <si>
    <t xml:space="preserve">Commercial Electricity                            </t>
  </si>
  <si>
    <t xml:space="preserve">Industrial CP-Electricity                         </t>
  </si>
  <si>
    <t xml:space="preserve">Industrial FA-Electricity                         </t>
  </si>
  <si>
    <t xml:space="preserve">Industrial FB-Electricity                         </t>
  </si>
  <si>
    <t xml:space="preserve">Industrial IS-Electricity                         </t>
  </si>
  <si>
    <t xml:space="preserve">Industrial MI-Electricity                         </t>
  </si>
  <si>
    <t xml:space="preserve">Industrial NF-Electricity                         </t>
  </si>
  <si>
    <t xml:space="preserve">Industrial NM-Electricity                         </t>
  </si>
  <si>
    <t xml:space="preserve">Industrial OT-Electricity                         </t>
  </si>
  <si>
    <t xml:space="preserve">Industrial PP-Electricity                         </t>
  </si>
  <si>
    <t xml:space="preserve">Residential Electricity                           </t>
  </si>
  <si>
    <t xml:space="preserve">Transport Electricity                             </t>
  </si>
  <si>
    <t xml:space="preserve">Supply Sector Electricity                         </t>
  </si>
  <si>
    <t>Substation</t>
  </si>
  <si>
    <t>Reticulation</t>
  </si>
  <si>
    <t>Source: Proxy-FAR-Rev-0.2 (P&amp;G) (sseg.org.za)</t>
  </si>
  <si>
    <t>Dx Weighting</t>
  </si>
  <si>
    <t>Tx Weighting</t>
  </si>
  <si>
    <t>Lines</t>
  </si>
  <si>
    <t>To do later by combining material input info. Would also need to increase capital and labour inputs to those activities.</t>
  </si>
  <si>
    <t>It might be a good idea to simply split out some of the large components like PV panels, Wind turbines, and batteries as commodities in CGE. This might help linking in the material inputs.</t>
  </si>
  <si>
    <t>sseg.org.za+JEET</t>
  </si>
  <si>
    <t>sseg.org.za</t>
  </si>
  <si>
    <t>Distance</t>
  </si>
  <si>
    <t>See VT_REGION1_ELC.xls!ProcDataTnD</t>
  </si>
  <si>
    <t>MATSTL</t>
  </si>
  <si>
    <t>MATALU</t>
  </si>
  <si>
    <t>MATCEM</t>
  </si>
  <si>
    <t>MATPLT</t>
  </si>
  <si>
    <t>MATGLS</t>
  </si>
  <si>
    <t>MATCOP</t>
  </si>
  <si>
    <t>MATNIC</t>
  </si>
  <si>
    <t>MATMNG</t>
  </si>
  <si>
    <t>MATCOB</t>
  </si>
  <si>
    <t>MATSIL</t>
  </si>
  <si>
    <t>Need to add missing links here</t>
  </si>
  <si>
    <t>MATZNC</t>
  </si>
  <si>
    <t xml:space="preserve">Learning could be on ncap cost or assumption e.g. 1%/year as per </t>
  </si>
  <si>
    <t>Source: Manufacturing Circle 2022</t>
  </si>
  <si>
    <t>TFM_FILL</t>
  </si>
  <si>
    <t>Ebattery_Utility</t>
  </si>
  <si>
    <t>BATTERY MATERIAL INPUTS</t>
  </si>
  <si>
    <r>
      <t>DOI</t>
    </r>
    <r>
      <rPr>
        <sz val="11"/>
        <color rgb="FF333333"/>
        <rFont val="Segoe UI"/>
        <family val="2"/>
      </rPr>
      <t> 10.1149/2.0271701jes</t>
    </r>
  </si>
  <si>
    <r>
      <t>Jan Diekmann </t>
    </r>
    <r>
      <rPr>
        <i/>
        <sz val="11"/>
        <color rgb="FF333333"/>
        <rFont val="Segoe UI"/>
        <family val="2"/>
      </rPr>
      <t>et al</t>
    </r>
    <r>
      <rPr>
        <sz val="11"/>
        <color rgb="FF333333"/>
        <rFont val="Segoe UI"/>
        <family val="2"/>
      </rPr>
      <t> 2017 </t>
    </r>
    <r>
      <rPr>
        <i/>
        <sz val="11"/>
        <color rgb="FF333333"/>
        <rFont val="Segoe UI"/>
        <family val="2"/>
      </rPr>
      <t>J. Electrochem. Soc.</t>
    </r>
    <r>
      <rPr>
        <sz val="11"/>
        <color rgb="FF333333"/>
        <rFont val="Segoe UI"/>
        <family val="2"/>
      </rPr>
      <t> </t>
    </r>
    <r>
      <rPr>
        <sz val="11"/>
        <color rgb="FF333333"/>
        <rFont val="Segoe UI"/>
        <family val="2"/>
      </rPr>
      <t>164</t>
    </r>
    <r>
      <rPr>
        <sz val="11"/>
        <color rgb="FF333333"/>
        <rFont val="Segoe UI"/>
        <family val="2"/>
      </rPr>
      <t> A6184</t>
    </r>
  </si>
  <si>
    <t>Electronics</t>
  </si>
  <si>
    <t>battery system peripheral</t>
  </si>
  <si>
    <t>Plastics</t>
  </si>
  <si>
    <t>cables</t>
  </si>
  <si>
    <t>Module periphery</t>
  </si>
  <si>
    <t>cathode</t>
  </si>
  <si>
    <t>Lithium</t>
  </si>
  <si>
    <t>Oxygen</t>
  </si>
  <si>
    <t>Anode</t>
  </si>
  <si>
    <t>Cell housing</t>
  </si>
  <si>
    <t>Electrolyte seperatore, others</t>
  </si>
  <si>
    <t>VOC</t>
  </si>
  <si>
    <t>Assign/keep</t>
  </si>
  <si>
    <t>% maass</t>
  </si>
  <si>
    <t>Mass of materials</t>
  </si>
  <si>
    <t>Others</t>
  </si>
  <si>
    <t>Summarised</t>
  </si>
  <si>
    <t>kg/ average cell</t>
  </si>
  <si>
    <t>avg. kg per battery</t>
  </si>
  <si>
    <t>then</t>
  </si>
  <si>
    <t>inferred kg</t>
  </si>
  <si>
    <t>kg</t>
  </si>
  <si>
    <t>of mass</t>
  </si>
  <si>
    <t>kg total mass</t>
  </si>
  <si>
    <t>Wh/kg typical lithium battery density</t>
  </si>
  <si>
    <t>tonnes/MWh</t>
  </si>
  <si>
    <t>Wh</t>
  </si>
  <si>
    <t>MWh</t>
  </si>
  <si>
    <t>At 4hr storage</t>
  </si>
  <si>
    <t>tonnes/MW</t>
  </si>
  <si>
    <t>MATLIT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</si>
</sst>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quot;R&quot;#,##0_);[Red]\(&quot;R&quot;#,##0\)"/>
    <numFmt numFmtId="165" formatCode="&quot;R&quot;#,##0.00_);[Red]\(&quot;R&quot;#,##0.00\)"/>
    <numFmt numFmtId="166" formatCode="_(* #,##0.00_);_(* \(#,##0.00\);_(* &quot;-&quot;??_);_(@_)"/>
    <numFmt numFmtId="167" formatCode="0.000"/>
    <numFmt numFmtId="168" formatCode="0.0"/>
    <numFmt numFmtId="169" formatCode="0.0%"/>
    <numFmt numFmtId="170" formatCode="_(* #,##0_);_(* \(#,##0\);_(* &quot;-&quot;??_);_(@_)"/>
    <numFmt numFmtId="171" formatCode="_-* #,##0_-;\-* #,##0_-;_-* &quot;-&quot;??_-;_-@_-"/>
    <numFmt numFmtId="172" formatCode="0.000000"/>
    <numFmt numFmtId="173" formatCode="0.0000"/>
    <numFmt numFmtId="174" formatCode="&quot;R&quot;#,##0.00000;[Red]\-&quot;R&quot;#,##0.00000"/>
    <numFmt numFmtId="175" formatCode="_-* #,##0.0_-;\-* #,##0.0_-;_-* &quot;-&quot;??_-;_-@_-"/>
    <numFmt numFmtId="176" formatCode="_-* #,##0.00000_-;\-* #,##0.00000_-;_-* &quot;-&quot;??_-;_-@_-"/>
    <numFmt numFmtId="177" formatCode="_-* #,##0.000_-;\-* #,##0.000_-;_-* &quot;-&quot;??_-;_-@_-"/>
  </numFmts>
  <fonts count="7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11"/>
      <color theme="1"/>
      <name val="Calibri"/>
      <family val="2"/>
    </font>
    <font>
      <b/>
      <sz val="11"/>
      <color theme="3"/>
      <name val="Calibri"/>
      <family val="2"/>
      <scheme val="minor"/>
    </font>
    <font>
      <sz val="11"/>
      <color rgb="FF006100"/>
      <name val="Calibri"/>
      <family val="2"/>
      <scheme val="minor"/>
    </font>
    <font>
      <sz val="11"/>
      <color rgb="FF9C0006"/>
      <name val="Calibri"/>
      <family val="2"/>
      <scheme val="minor"/>
    </font>
    <font>
      <b/>
      <sz val="11"/>
      <color theme="1"/>
      <name val="Calibri"/>
      <family val="2"/>
      <scheme val="minor"/>
    </font>
    <font>
      <sz val="11"/>
      <color indexed="8"/>
      <name val="Calibri"/>
      <family val="2"/>
    </font>
    <font>
      <u/>
      <sz val="11"/>
      <color theme="10"/>
      <name val="Calibri"/>
      <family val="2"/>
      <scheme val="minor"/>
    </font>
    <font>
      <b/>
      <sz val="9"/>
      <color indexed="81"/>
      <name val="Tahoma"/>
      <family val="2"/>
    </font>
    <font>
      <sz val="9"/>
      <color indexed="81"/>
      <name val="Tahoma"/>
      <family val="2"/>
    </font>
    <font>
      <i/>
      <sz val="11"/>
      <color theme="1"/>
      <name val="Calibri"/>
      <family val="2"/>
      <scheme val="minor"/>
    </font>
    <font>
      <b/>
      <sz val="14"/>
      <color indexed="8"/>
      <name val="Calibri"/>
      <family val="2"/>
      <scheme val="minor"/>
    </font>
    <font>
      <sz val="11"/>
      <color rgb="FF0070C0"/>
      <name val="Calibri"/>
      <family val="2"/>
      <scheme val="minor"/>
    </font>
    <font>
      <b/>
      <i/>
      <sz val="11"/>
      <color theme="1"/>
      <name val="Calibri"/>
      <family val="2"/>
      <scheme val="minor"/>
    </font>
    <font>
      <sz val="10"/>
      <name val="Arial"/>
      <family val="2"/>
    </font>
    <font>
      <sz val="10"/>
      <color rgb="FFFF0000"/>
      <name val="Arial"/>
      <family val="2"/>
    </font>
    <font>
      <sz val="10"/>
      <color theme="8" tint="-0.249977111117893"/>
      <name val="Arial"/>
      <family val="2"/>
    </font>
    <font>
      <b/>
      <sz val="8"/>
      <name val="Arial"/>
      <family val="2"/>
    </font>
    <font>
      <sz val="8"/>
      <name val="Arial"/>
      <family val="2"/>
    </font>
    <font>
      <sz val="11"/>
      <color rgb="FFFF0000"/>
      <name val="Calibri"/>
      <family val="2"/>
      <scheme val="minor"/>
    </font>
    <font>
      <sz val="9"/>
      <color theme="1"/>
      <name val="Gill Sans MT"/>
      <family val="2"/>
    </font>
    <font>
      <b/>
      <sz val="11"/>
      <color theme="1"/>
      <name val="Gill Sans MT"/>
      <family val="2"/>
    </font>
    <font>
      <b/>
      <sz val="9"/>
      <color theme="1"/>
      <name val="Gill Sans MT"/>
      <family val="2"/>
    </font>
    <font>
      <i/>
      <sz val="9"/>
      <color theme="1"/>
      <name val="Gill Sans MT"/>
      <family val="2"/>
    </font>
    <font>
      <b/>
      <sz val="9"/>
      <color rgb="FFFFFFFF"/>
      <name val="Gill Sans MT"/>
      <family val="2"/>
    </font>
    <font>
      <b/>
      <sz val="16"/>
      <color theme="1"/>
      <name val="Gill Sans MT"/>
      <family val="2"/>
    </font>
    <font>
      <b/>
      <sz val="18"/>
      <color theme="1"/>
      <name val="Gill Sans MT"/>
      <family val="2"/>
    </font>
    <font>
      <sz val="9"/>
      <color rgb="FF00B050"/>
      <name val="Gill Sans MT"/>
      <family val="2"/>
    </font>
    <font>
      <b/>
      <i/>
      <sz val="11"/>
      <color theme="1"/>
      <name val="Gill Sans MT"/>
      <family val="2"/>
    </font>
    <font>
      <sz val="9"/>
      <color rgb="FFFF0000"/>
      <name val="Gill Sans MT"/>
      <family val="2"/>
    </font>
    <font>
      <u/>
      <sz val="9"/>
      <color theme="10"/>
      <name val="Gill Sans MT"/>
      <family val="2"/>
    </font>
    <font>
      <u/>
      <sz val="9"/>
      <color theme="10"/>
      <name val="Calibri"/>
      <family val="2"/>
      <scheme val="minor"/>
    </font>
    <font>
      <b/>
      <sz val="9"/>
      <color theme="0"/>
      <name val="Gill Sans MT"/>
      <family val="2"/>
    </font>
    <font>
      <sz val="9"/>
      <color rgb="FF0664C6"/>
      <name val="Roboto"/>
    </font>
    <font>
      <sz val="9"/>
      <color theme="0"/>
      <name val="Gill Sans MT"/>
      <family val="2"/>
    </font>
    <font>
      <sz val="10"/>
      <name val="Arial"/>
      <family val="2"/>
    </font>
    <font>
      <b/>
      <sz val="15"/>
      <color theme="3"/>
      <name val="Calibri"/>
      <family val="2"/>
      <scheme val="minor"/>
    </font>
    <font>
      <b/>
      <sz val="13"/>
      <color theme="3"/>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3F3F76"/>
      <name val="Calibri"/>
      <family val="2"/>
      <scheme val="minor"/>
    </font>
    <font>
      <b/>
      <sz val="8"/>
      <color indexed="81"/>
      <name val="Tahoma"/>
      <family val="2"/>
    </font>
    <font>
      <sz val="8"/>
      <color indexed="81"/>
      <name val="Tahoma"/>
      <family val="2"/>
    </font>
    <font>
      <sz val="10"/>
      <color rgb="FF000000"/>
      <name val="Calibri"/>
      <family val="2"/>
      <scheme val="minor"/>
    </font>
    <font>
      <b/>
      <sz val="10"/>
      <color rgb="FF000000"/>
      <name val="Calibri"/>
      <family val="2"/>
      <scheme val="minor"/>
    </font>
    <font>
      <b/>
      <sz val="12"/>
      <color rgb="FF000000"/>
      <name val="Calibri"/>
      <family val="2"/>
      <scheme val="minor"/>
    </font>
    <font>
      <b/>
      <sz val="11"/>
      <color rgb="FF000000"/>
      <name val="Calibri"/>
      <family val="2"/>
      <scheme val="minor"/>
    </font>
    <font>
      <b/>
      <u/>
      <sz val="10"/>
      <color indexed="8"/>
      <name val="Arial"/>
      <family val="2"/>
    </font>
    <font>
      <b/>
      <sz val="10"/>
      <color theme="4"/>
      <name val="Arial"/>
      <family val="2"/>
    </font>
    <font>
      <sz val="10"/>
      <color theme="4"/>
      <name val="Times New Roman"/>
      <family val="1"/>
      <charset val="204"/>
    </font>
    <font>
      <b/>
      <sz val="10"/>
      <color theme="7"/>
      <name val="Arial"/>
      <family val="2"/>
    </font>
    <font>
      <sz val="10"/>
      <name val="Times New Roman"/>
      <family val="1"/>
      <charset val="204"/>
    </font>
    <font>
      <b/>
      <sz val="10"/>
      <color indexed="8"/>
      <name val="Arial"/>
      <family val="2"/>
    </font>
    <font>
      <u/>
      <sz val="10"/>
      <color theme="10"/>
      <name val="Calibri"/>
      <family val="2"/>
      <scheme val="minor"/>
    </font>
    <font>
      <sz val="8"/>
      <color indexed="8"/>
      <name val="Times New Roman"/>
      <family val="2"/>
    </font>
    <font>
      <sz val="8"/>
      <color indexed="8"/>
      <name val="Arial"/>
      <family val="2"/>
    </font>
    <font>
      <b/>
      <sz val="10"/>
      <color rgb="FF000000"/>
      <name val="Arial"/>
      <family val="2"/>
    </font>
    <font>
      <sz val="10"/>
      <color rgb="FF000000"/>
      <name val="Arial"/>
      <family val="2"/>
    </font>
    <font>
      <b/>
      <sz val="14"/>
      <name val="Arial"/>
      <family val="2"/>
    </font>
    <font>
      <sz val="11"/>
      <color rgb="FF333333"/>
      <name val="Segoe UI"/>
      <family val="2"/>
    </font>
    <font>
      <sz val="11"/>
      <color rgb="FF333333"/>
      <name val="Segoe UI"/>
      <family val="2"/>
    </font>
    <font>
      <i/>
      <sz val="11"/>
      <color rgb="FF333333"/>
      <name val="Segoe UI"/>
      <family val="2"/>
    </font>
  </fonts>
  <fills count="23">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7" tint="0.79998168889431442"/>
        <bgColor indexed="64"/>
      </patternFill>
    </fill>
    <fill>
      <patternFill patternType="solid">
        <fgColor theme="2"/>
        <bgColor indexed="64"/>
      </patternFill>
    </fill>
    <fill>
      <patternFill patternType="solid">
        <fgColor rgb="FFFFC000"/>
        <bgColor indexed="64"/>
      </patternFill>
    </fill>
    <fill>
      <patternFill patternType="solid">
        <fgColor rgb="FF336699"/>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rgb="FF336699"/>
        <bgColor rgb="FF000000"/>
      </patternFill>
    </fill>
    <fill>
      <patternFill patternType="solid">
        <fgColor theme="4"/>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s>
  <borders count="7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rgb="FF336699"/>
      </left>
      <right style="medium">
        <color rgb="FF336699"/>
      </right>
      <top/>
      <bottom style="medium">
        <color rgb="FF336699"/>
      </bottom>
      <diagonal/>
    </border>
    <border>
      <left/>
      <right style="medium">
        <color rgb="FF336699"/>
      </right>
      <top/>
      <bottom style="medium">
        <color rgb="FF336699"/>
      </bottom>
      <diagonal/>
    </border>
    <border>
      <left/>
      <right style="medium">
        <color rgb="FF336699"/>
      </right>
      <top style="medium">
        <color rgb="FF336699"/>
      </top>
      <bottom style="medium">
        <color rgb="FF336699"/>
      </bottom>
      <diagonal/>
    </border>
    <border>
      <left style="medium">
        <color rgb="FF336699"/>
      </left>
      <right style="medium">
        <color rgb="FF336699"/>
      </right>
      <top style="medium">
        <color rgb="FF336699"/>
      </top>
      <bottom style="medium">
        <color rgb="FF336699"/>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medium">
        <color rgb="FF336699"/>
      </left>
      <right/>
      <top style="medium">
        <color rgb="FF336699"/>
      </top>
      <bottom/>
      <diagonal/>
    </border>
    <border>
      <left/>
      <right/>
      <top style="medium">
        <color rgb="FF336699"/>
      </top>
      <bottom style="medium">
        <color rgb="FF336699"/>
      </bottom>
      <diagonal/>
    </border>
    <border>
      <left style="medium">
        <color rgb="FF336699"/>
      </left>
      <right/>
      <top style="medium">
        <color rgb="FF336699"/>
      </top>
      <bottom style="medium">
        <color rgb="FF336699"/>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bottom/>
      <diagonal/>
    </border>
    <border>
      <left style="medium">
        <color indexed="64"/>
      </left>
      <right/>
      <top/>
      <bottom/>
      <diagonal/>
    </border>
    <border>
      <left style="medium">
        <color indexed="64"/>
      </left>
      <right style="medium">
        <color indexed="64"/>
      </right>
      <top/>
      <bottom/>
      <diagonal/>
    </border>
    <border>
      <left style="medium">
        <color indexed="64"/>
      </left>
      <right/>
      <top style="medium">
        <color rgb="FF336699"/>
      </top>
      <bottom style="medium">
        <color rgb="FF336699"/>
      </bottom>
      <diagonal/>
    </border>
    <border>
      <left/>
      <right style="medium">
        <color indexed="64"/>
      </right>
      <top style="medium">
        <color indexed="64"/>
      </top>
      <bottom style="medium">
        <color rgb="FF336699"/>
      </bottom>
      <diagonal/>
    </border>
    <border>
      <left/>
      <right/>
      <top style="medium">
        <color indexed="64"/>
      </top>
      <bottom style="medium">
        <color rgb="FF336699"/>
      </bottom>
      <diagonal/>
    </border>
    <border>
      <left style="medium">
        <color indexed="64"/>
      </left>
      <right/>
      <top style="medium">
        <color indexed="64"/>
      </top>
      <bottom style="medium">
        <color rgb="FF336699"/>
      </bottom>
      <diagonal/>
    </border>
    <border>
      <left style="medium">
        <color indexed="64"/>
      </left>
      <right style="medium">
        <color indexed="64"/>
      </right>
      <top style="medium">
        <color indexed="64"/>
      </top>
      <bottom style="medium">
        <color rgb="FF336699"/>
      </bottom>
      <diagonal/>
    </border>
    <border>
      <left style="medium">
        <color theme="8" tint="-0.499984740745262"/>
      </left>
      <right style="medium">
        <color theme="8" tint="-0.499984740745262"/>
      </right>
      <top style="medium">
        <color theme="8" tint="-0.499984740745262"/>
      </top>
      <bottom style="medium">
        <color theme="8" tint="-0.499984740745262"/>
      </bottom>
      <diagonal/>
    </border>
    <border>
      <left style="thick">
        <color theme="4"/>
      </left>
      <right/>
      <top/>
      <bottom/>
      <diagonal/>
    </border>
    <border>
      <left style="thin">
        <color indexed="64"/>
      </left>
      <right/>
      <top style="thick">
        <color theme="4"/>
      </top>
      <bottom style="thick">
        <color theme="4"/>
      </bottom>
      <diagonal/>
    </border>
    <border>
      <left style="thin">
        <color indexed="64"/>
      </left>
      <right style="thin">
        <color indexed="64"/>
      </right>
      <top style="thick">
        <color theme="4"/>
      </top>
      <bottom style="thick">
        <color theme="4"/>
      </bottom>
      <diagonal/>
    </border>
    <border>
      <left/>
      <right style="thin">
        <color indexed="64"/>
      </right>
      <top style="thick">
        <color theme="4"/>
      </top>
      <bottom style="thick">
        <color theme="4"/>
      </bottom>
      <diagonal/>
    </border>
    <border>
      <left style="thick">
        <color theme="4"/>
      </left>
      <right style="thick">
        <color theme="4"/>
      </right>
      <top style="thick">
        <color theme="4"/>
      </top>
      <bottom style="thick">
        <color theme="4"/>
      </bottom>
      <diagonal/>
    </border>
    <border>
      <left style="medium">
        <color rgb="FF336699"/>
      </left>
      <right style="medium">
        <color rgb="FF336699"/>
      </right>
      <top/>
      <bottom/>
      <diagonal/>
    </border>
    <border>
      <left style="medium">
        <color rgb="FF336699"/>
      </left>
      <right style="medium">
        <color rgb="FF336699"/>
      </right>
      <top style="medium">
        <color rgb="FF336699"/>
      </top>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000000"/>
      </left>
      <right/>
      <top/>
      <bottom/>
      <diagonal/>
    </border>
    <border>
      <left/>
      <right style="thin">
        <color rgb="FF000000"/>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CCCCCC"/>
      </right>
      <top style="thin">
        <color rgb="FF000000"/>
      </top>
      <bottom style="thin">
        <color rgb="FFCCCCCC"/>
      </bottom>
      <diagonal/>
    </border>
    <border>
      <left style="thin">
        <color rgb="FFCCCCCC"/>
      </left>
      <right style="thin">
        <color rgb="FFCCCCCC"/>
      </right>
      <top style="thin">
        <color rgb="FF000000"/>
      </top>
      <bottom style="thin">
        <color rgb="FFCCCCCC"/>
      </bottom>
      <diagonal/>
    </border>
    <border>
      <left style="thin">
        <color rgb="FFCCCCCC"/>
      </left>
      <right style="thin">
        <color rgb="FF000000"/>
      </right>
      <top style="thin">
        <color rgb="FF000000"/>
      </top>
      <bottom style="thin">
        <color rgb="FFCCCCCC"/>
      </bottom>
      <diagonal/>
    </border>
    <border>
      <left style="thin">
        <color rgb="FF000000"/>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CCCCCC"/>
      </bottom>
      <diagonal/>
    </border>
    <border>
      <left style="thin">
        <color rgb="FF000000"/>
      </left>
      <right style="thin">
        <color auto="1"/>
      </right>
      <top style="thin">
        <color auto="1"/>
      </top>
      <bottom style="thin">
        <color auto="1"/>
      </bottom>
      <diagonal/>
    </border>
    <border>
      <left style="thin">
        <color rgb="FF000000"/>
      </left>
      <right style="thin">
        <color rgb="FFCCCCCC"/>
      </right>
      <top style="thin">
        <color rgb="FFCCCCCC"/>
      </top>
      <bottom style="thin">
        <color rgb="FF000000"/>
      </bottom>
      <diagonal/>
    </border>
    <border>
      <left style="thin">
        <color rgb="FFCCCCCC"/>
      </left>
      <right style="thin">
        <color rgb="FFCCCCCC"/>
      </right>
      <top style="thin">
        <color rgb="FFCCCCCC"/>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8">
    <xf numFmtId="0" fontId="0" fillId="0" borderId="0"/>
    <xf numFmtId="0" fontId="12" fillId="0" borderId="0" applyNumberFormat="0" applyFill="0" applyBorder="0" applyAlignment="0" applyProtection="0"/>
    <xf numFmtId="0" fontId="13" fillId="3" borderId="0" applyNumberFormat="0" applyBorder="0" applyAlignment="0" applyProtection="0"/>
    <xf numFmtId="0" fontId="14" fillId="4" borderId="0" applyNumberFormat="0" applyBorder="0" applyAlignment="0" applyProtection="0"/>
    <xf numFmtId="0" fontId="8" fillId="0" borderId="0"/>
    <xf numFmtId="0" fontId="8" fillId="0" borderId="0"/>
    <xf numFmtId="0" fontId="9" fillId="0" borderId="0"/>
    <xf numFmtId="9" fontId="8" fillId="0" borderId="0" applyFont="0" applyFill="0" applyBorder="0" applyAlignment="0" applyProtection="0"/>
    <xf numFmtId="166" fontId="16" fillId="0" borderId="0" applyFont="0" applyFill="0" applyBorder="0" applyAlignment="0" applyProtection="0"/>
    <xf numFmtId="0" fontId="17" fillId="0" borderId="0" applyNumberForma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9" fontId="24" fillId="0" borderId="0" applyFont="0" applyFill="0" applyBorder="0" applyAlignment="0" applyProtection="0"/>
    <xf numFmtId="0" fontId="5" fillId="0" borderId="0"/>
    <xf numFmtId="9" fontId="5" fillId="0" borderId="0" applyFont="0" applyFill="0" applyBorder="0" applyAlignment="0" applyProtection="0"/>
    <xf numFmtId="0" fontId="4" fillId="0" borderId="0"/>
    <xf numFmtId="9" fontId="4" fillId="0" borderId="0" applyFont="0" applyFill="0" applyBorder="0" applyAlignment="0" applyProtection="0"/>
    <xf numFmtId="166" fontId="4" fillId="0" borderId="0" applyFont="0" applyFill="0" applyBorder="0" applyAlignment="0" applyProtection="0"/>
    <xf numFmtId="0" fontId="46" fillId="0" borderId="50" applyNumberFormat="0" applyFill="0" applyAlignment="0" applyProtection="0"/>
    <xf numFmtId="0" fontId="47" fillId="0" borderId="51" applyNumberFormat="0" applyFill="0" applyAlignment="0" applyProtection="0"/>
    <xf numFmtId="0" fontId="48" fillId="19" borderId="0" applyNumberFormat="0" applyBorder="0" applyAlignment="0" applyProtection="0"/>
    <xf numFmtId="0" fontId="49" fillId="20" borderId="52" applyNumberFormat="0" applyAlignment="0" applyProtection="0"/>
    <xf numFmtId="0" fontId="50" fillId="21" borderId="53" applyNumberFormat="0" applyAlignment="0" applyProtection="0"/>
    <xf numFmtId="0" fontId="45" fillId="22" borderId="54" applyNumberFormat="0" applyFont="0" applyAlignment="0" applyProtection="0"/>
    <xf numFmtId="0" fontId="54" fillId="0" borderId="0"/>
    <xf numFmtId="9" fontId="54" fillId="0" borderId="0" applyFont="0" applyFill="0" applyBorder="0" applyAlignment="0" applyProtection="0"/>
    <xf numFmtId="0" fontId="64" fillId="0" borderId="0" applyNumberFormat="0" applyFill="0" applyBorder="0" applyAlignment="0" applyProtection="0"/>
    <xf numFmtId="166" fontId="54" fillId="0" borderId="0" applyFont="0" applyFill="0" applyBorder="0" applyAlignment="0" applyProtection="0"/>
  </cellStyleXfs>
  <cellXfs count="503">
    <xf numFmtId="0" fontId="0" fillId="0" borderId="0" xfId="0"/>
    <xf numFmtId="0" fontId="9" fillId="0" borderId="0" xfId="0" applyFont="1"/>
    <xf numFmtId="0" fontId="8" fillId="0" borderId="0" xfId="4"/>
    <xf numFmtId="0" fontId="8" fillId="0" borderId="0" xfId="5"/>
    <xf numFmtId="167" fontId="8" fillId="0" borderId="0" xfId="5" applyNumberFormat="1"/>
    <xf numFmtId="167" fontId="13" fillId="3" borderId="0" xfId="2" applyNumberFormat="1"/>
    <xf numFmtId="2" fontId="8" fillId="0" borderId="0" xfId="5" applyNumberFormat="1"/>
    <xf numFmtId="9" fontId="0" fillId="0" borderId="0" xfId="7" applyFont="1"/>
    <xf numFmtId="0" fontId="8" fillId="0" borderId="0" xfId="5" applyAlignment="1">
      <alignment wrapText="1"/>
    </xf>
    <xf numFmtId="0" fontId="15" fillId="0" borderId="0" xfId="5" applyFont="1"/>
    <xf numFmtId="0" fontId="16" fillId="0" borderId="0" xfId="4" applyFont="1"/>
    <xf numFmtId="0" fontId="13" fillId="3" borderId="0" xfId="2"/>
    <xf numFmtId="0" fontId="8" fillId="0" borderId="0" xfId="5" quotePrefix="1"/>
    <xf numFmtId="168" fontId="8" fillId="0" borderId="0" xfId="5" applyNumberFormat="1"/>
    <xf numFmtId="169" fontId="0" fillId="0" borderId="0" xfId="7" applyNumberFormat="1" applyFont="1"/>
    <xf numFmtId="170" fontId="16" fillId="0" borderId="0" xfId="8" applyNumberFormat="1"/>
    <xf numFmtId="1" fontId="8" fillId="0" borderId="0" xfId="5" applyNumberFormat="1"/>
    <xf numFmtId="170" fontId="13" fillId="3" borderId="0" xfId="2" applyNumberFormat="1"/>
    <xf numFmtId="1" fontId="13" fillId="3" borderId="0" xfId="2" applyNumberFormat="1"/>
    <xf numFmtId="0" fontId="17" fillId="0" borderId="0" xfId="9"/>
    <xf numFmtId="9" fontId="8" fillId="0" borderId="0" xfId="5" applyNumberFormat="1"/>
    <xf numFmtId="171" fontId="8" fillId="0" borderId="0" xfId="5" applyNumberFormat="1"/>
    <xf numFmtId="171" fontId="13" fillId="3" borderId="0" xfId="2" applyNumberFormat="1"/>
    <xf numFmtId="168" fontId="13" fillId="3" borderId="0" xfId="2" applyNumberFormat="1"/>
    <xf numFmtId="170" fontId="8" fillId="0" borderId="0" xfId="5" applyNumberFormat="1"/>
    <xf numFmtId="171" fontId="0" fillId="0" borderId="0" xfId="10" applyNumberFormat="1" applyFont="1"/>
    <xf numFmtId="168" fontId="15" fillId="0" borderId="0" xfId="5" applyNumberFormat="1" applyFont="1"/>
    <xf numFmtId="2" fontId="15" fillId="0" borderId="0" xfId="5" applyNumberFormat="1" applyFont="1"/>
    <xf numFmtId="1" fontId="15" fillId="0" borderId="0" xfId="5" applyNumberFormat="1" applyFont="1"/>
    <xf numFmtId="167" fontId="15" fillId="0" borderId="0" xfId="5" applyNumberFormat="1" applyFont="1"/>
    <xf numFmtId="172" fontId="8" fillId="0" borderId="0" xfId="5" applyNumberFormat="1"/>
    <xf numFmtId="173" fontId="8" fillId="0" borderId="0" xfId="5" applyNumberFormat="1"/>
    <xf numFmtId="167" fontId="14" fillId="4" borderId="0" xfId="3" applyNumberFormat="1"/>
    <xf numFmtId="0" fontId="8" fillId="0" borderId="0" xfId="4" quotePrefix="1"/>
    <xf numFmtId="170" fontId="8" fillId="0" borderId="0" xfId="4" applyNumberFormat="1"/>
    <xf numFmtId="171" fontId="0" fillId="0" borderId="0" xfId="11" applyNumberFormat="1" applyFont="1"/>
    <xf numFmtId="3" fontId="8" fillId="0" borderId="0" xfId="4" applyNumberFormat="1"/>
    <xf numFmtId="0" fontId="20" fillId="0" borderId="0" xfId="4" applyFont="1"/>
    <xf numFmtId="0" fontId="21" fillId="0" borderId="0" xfId="4" applyFont="1"/>
    <xf numFmtId="167" fontId="8" fillId="0" borderId="0" xfId="4" applyNumberFormat="1"/>
    <xf numFmtId="4" fontId="20" fillId="0" borderId="0" xfId="4" applyNumberFormat="1" applyFont="1"/>
    <xf numFmtId="4" fontId="8" fillId="0" borderId="0" xfId="4" applyNumberFormat="1"/>
    <xf numFmtId="4" fontId="22" fillId="0" borderId="0" xfId="4" applyNumberFormat="1" applyFont="1"/>
    <xf numFmtId="0" fontId="15" fillId="0" borderId="0" xfId="4" applyFont="1"/>
    <xf numFmtId="0" fontId="23" fillId="0" borderId="0" xfId="4" applyFont="1"/>
    <xf numFmtId="9" fontId="23" fillId="0" borderId="0" xfId="7" applyFont="1"/>
    <xf numFmtId="2" fontId="8" fillId="0" borderId="0" xfId="4" applyNumberFormat="1"/>
    <xf numFmtId="2" fontId="15" fillId="0" borderId="0" xfId="4" applyNumberFormat="1" applyFont="1"/>
    <xf numFmtId="9" fontId="20" fillId="0" borderId="0" xfId="7" applyFont="1"/>
    <xf numFmtId="2" fontId="8" fillId="5" borderId="0" xfId="4" applyNumberFormat="1" applyFill="1"/>
    <xf numFmtId="168" fontId="8" fillId="0" borderId="0" xfId="4" applyNumberFormat="1"/>
    <xf numFmtId="173" fontId="8" fillId="0" borderId="0" xfId="4" applyNumberFormat="1"/>
    <xf numFmtId="0" fontId="8" fillId="0" borderId="0" xfId="4" applyAlignment="1">
      <alignment wrapText="1"/>
    </xf>
    <xf numFmtId="0" fontId="15" fillId="0" borderId="0" xfId="4" applyFont="1" applyAlignment="1">
      <alignment wrapText="1"/>
    </xf>
    <xf numFmtId="4" fontId="8" fillId="0" borderId="0" xfId="4" applyNumberFormat="1" applyAlignment="1">
      <alignment wrapText="1"/>
    </xf>
    <xf numFmtId="174" fontId="15" fillId="0" borderId="0" xfId="4" applyNumberFormat="1" applyFont="1" applyAlignment="1">
      <alignment wrapText="1"/>
    </xf>
    <xf numFmtId="10" fontId="8" fillId="0" borderId="0" xfId="4" applyNumberFormat="1"/>
    <xf numFmtId="0" fontId="12" fillId="0" borderId="0" xfId="1"/>
    <xf numFmtId="0" fontId="7" fillId="0" borderId="0" xfId="5" applyFont="1"/>
    <xf numFmtId="0" fontId="12" fillId="0" borderId="0" xfId="1" applyAlignment="1">
      <alignment horizontal="center" wrapText="1"/>
    </xf>
    <xf numFmtId="0" fontId="6" fillId="0" borderId="0" xfId="5" applyFont="1"/>
    <xf numFmtId="0" fontId="12" fillId="0" borderId="0" xfId="1" applyAlignment="1">
      <alignment horizontal="left" wrapText="1"/>
    </xf>
    <xf numFmtId="0" fontId="0" fillId="0" borderId="0" xfId="0" applyAlignment="1">
      <alignment horizontal="center"/>
    </xf>
    <xf numFmtId="0" fontId="9" fillId="0" borderId="0" xfId="0" applyFont="1" applyAlignment="1">
      <alignment horizontal="center"/>
    </xf>
    <xf numFmtId="9" fontId="0" fillId="0" borderId="0" xfId="12" applyFont="1"/>
    <xf numFmtId="0" fontId="9" fillId="0" borderId="0" xfId="0" applyFont="1" applyAlignment="1">
      <alignment wrapText="1"/>
    </xf>
    <xf numFmtId="0" fontId="10" fillId="0" borderId="0" xfId="0" applyFont="1"/>
    <xf numFmtId="0" fontId="14" fillId="4" borderId="0" xfId="3"/>
    <xf numFmtId="0" fontId="25" fillId="0" borderId="0" xfId="0" applyFont="1"/>
    <xf numFmtId="0" fontId="5" fillId="0" borderId="0" xfId="13"/>
    <xf numFmtId="9" fontId="0" fillId="0" borderId="0" xfId="14" applyFont="1"/>
    <xf numFmtId="9" fontId="9" fillId="0" borderId="0" xfId="12" applyFont="1"/>
    <xf numFmtId="0" fontId="26" fillId="0" borderId="0" xfId="0" applyFont="1"/>
    <xf numFmtId="0" fontId="27" fillId="0" borderId="0" xfId="6" applyFont="1"/>
    <xf numFmtId="0" fontId="28" fillId="0" borderId="0" xfId="6" applyFont="1"/>
    <xf numFmtId="9" fontId="5" fillId="0" borderId="0" xfId="12" applyFont="1"/>
    <xf numFmtId="9" fontId="0" fillId="0" borderId="0" xfId="0" applyNumberFormat="1"/>
    <xf numFmtId="0" fontId="30" fillId="0" borderId="0" xfId="15" applyFont="1"/>
    <xf numFmtId="0" fontId="31" fillId="0" borderId="0" xfId="15" applyFont="1"/>
    <xf numFmtId="9" fontId="32" fillId="0" borderId="1" xfId="16" applyFont="1" applyBorder="1"/>
    <xf numFmtId="166" fontId="32" fillId="0" borderId="1" xfId="15" applyNumberFormat="1" applyFont="1" applyBorder="1"/>
    <xf numFmtId="0" fontId="32" fillId="0" borderId="1" xfId="15" applyFont="1" applyBorder="1"/>
    <xf numFmtId="9" fontId="30" fillId="0" borderId="0" xfId="16" applyFont="1"/>
    <xf numFmtId="0" fontId="30" fillId="0" borderId="1" xfId="15" applyFont="1" applyBorder="1"/>
    <xf numFmtId="175" fontId="32" fillId="0" borderId="1" xfId="15" applyNumberFormat="1" applyFont="1" applyBorder="1"/>
    <xf numFmtId="9" fontId="30" fillId="0" borderId="0" xfId="15" applyNumberFormat="1" applyFont="1"/>
    <xf numFmtId="9" fontId="30" fillId="0" borderId="1" xfId="16" applyFont="1" applyBorder="1"/>
    <xf numFmtId="175" fontId="30" fillId="0" borderId="1" xfId="15" applyNumberFormat="1" applyFont="1" applyBorder="1"/>
    <xf numFmtId="2" fontId="30" fillId="0" borderId="0" xfId="15" applyNumberFormat="1" applyFont="1"/>
    <xf numFmtId="9" fontId="32" fillId="0" borderId="1" xfId="15" applyNumberFormat="1" applyFont="1" applyBorder="1"/>
    <xf numFmtId="0" fontId="30" fillId="0" borderId="2" xfId="15" applyFont="1" applyBorder="1"/>
    <xf numFmtId="0" fontId="32" fillId="0" borderId="0" xfId="15" applyFont="1"/>
    <xf numFmtId="166" fontId="30" fillId="0" borderId="0" xfId="15" applyNumberFormat="1" applyFont="1"/>
    <xf numFmtId="0" fontId="33" fillId="0" borderId="0" xfId="15" applyFont="1"/>
    <xf numFmtId="175" fontId="32" fillId="0" borderId="0" xfId="17" applyNumberFormat="1" applyFont="1"/>
    <xf numFmtId="175" fontId="30" fillId="0" borderId="0" xfId="17" applyNumberFormat="1" applyFont="1"/>
    <xf numFmtId="167" fontId="30" fillId="0" borderId="0" xfId="15" applyNumberFormat="1" applyFont="1"/>
    <xf numFmtId="167" fontId="30" fillId="0" borderId="2" xfId="15" applyNumberFormat="1" applyFont="1" applyBorder="1"/>
    <xf numFmtId="167" fontId="32" fillId="0" borderId="0" xfId="15" applyNumberFormat="1" applyFont="1"/>
    <xf numFmtId="167" fontId="30" fillId="6" borderId="3" xfId="15" applyNumberFormat="1" applyFont="1" applyFill="1" applyBorder="1" applyAlignment="1">
      <alignment horizontal="center" wrapText="1"/>
    </xf>
    <xf numFmtId="169" fontId="30" fillId="6" borderId="3" xfId="16" applyNumberFormat="1" applyFont="1" applyFill="1" applyBorder="1" applyAlignment="1">
      <alignment horizontal="center" wrapText="1"/>
    </xf>
    <xf numFmtId="0" fontId="30" fillId="0" borderId="3" xfId="15" applyFont="1" applyBorder="1" applyAlignment="1">
      <alignment horizontal="center" wrapText="1"/>
    </xf>
    <xf numFmtId="9" fontId="30" fillId="0" borderId="3" xfId="16" applyFont="1" applyFill="1" applyBorder="1" applyAlignment="1">
      <alignment horizontal="center" wrapText="1"/>
    </xf>
    <xf numFmtId="168" fontId="30" fillId="6" borderId="3" xfId="15" applyNumberFormat="1" applyFont="1" applyFill="1" applyBorder="1" applyAlignment="1">
      <alignment horizontal="center" wrapText="1"/>
    </xf>
    <xf numFmtId="10" fontId="30" fillId="0" borderId="4" xfId="15" applyNumberFormat="1" applyFont="1" applyBorder="1" applyAlignment="1">
      <alignment horizontal="center" wrapText="1"/>
    </xf>
    <xf numFmtId="10" fontId="30" fillId="0" borderId="5" xfId="15" applyNumberFormat="1" applyFont="1" applyBorder="1" applyAlignment="1">
      <alignment horizontal="center" wrapText="1"/>
    </xf>
    <xf numFmtId="0" fontId="30" fillId="0" borderId="6" xfId="15" applyFont="1" applyBorder="1" applyAlignment="1">
      <alignment horizontal="left" wrapText="1"/>
    </xf>
    <xf numFmtId="0" fontId="30" fillId="7" borderId="0" xfId="15" applyFont="1" applyFill="1"/>
    <xf numFmtId="171" fontId="30" fillId="0" borderId="0" xfId="15" applyNumberFormat="1" applyFont="1"/>
    <xf numFmtId="0" fontId="34" fillId="8" borderId="6" xfId="15" applyFont="1" applyFill="1" applyBorder="1" applyAlignment="1">
      <alignment horizontal="center" vertical="center" wrapText="1"/>
    </xf>
    <xf numFmtId="0" fontId="34" fillId="8" borderId="5" xfId="15" applyFont="1" applyFill="1" applyBorder="1" applyAlignment="1">
      <alignment horizontal="center" vertical="center" wrapText="1"/>
    </xf>
    <xf numFmtId="0" fontId="35" fillId="0" borderId="0" xfId="15" applyFont="1"/>
    <xf numFmtId="171" fontId="30" fillId="0" borderId="0" xfId="17" applyNumberFormat="1" applyFont="1" applyBorder="1"/>
    <xf numFmtId="9" fontId="30" fillId="0" borderId="0" xfId="16" applyFont="1" applyBorder="1"/>
    <xf numFmtId="0" fontId="36" fillId="0" borderId="0" xfId="15" applyFont="1"/>
    <xf numFmtId="171" fontId="30" fillId="0" borderId="7" xfId="17" applyNumberFormat="1" applyFont="1" applyBorder="1"/>
    <xf numFmtId="9" fontId="30" fillId="0" borderId="2" xfId="16" applyFont="1" applyBorder="1"/>
    <xf numFmtId="0" fontId="32" fillId="0" borderId="8" xfId="15" applyFont="1" applyBorder="1"/>
    <xf numFmtId="171" fontId="30" fillId="0" borderId="9" xfId="17" applyNumberFormat="1" applyFont="1" applyBorder="1"/>
    <xf numFmtId="0" fontId="32" fillId="0" borderId="10" xfId="15" applyFont="1" applyBorder="1"/>
    <xf numFmtId="171" fontId="32" fillId="0" borderId="11" xfId="17" applyNumberFormat="1" applyFont="1" applyBorder="1"/>
    <xf numFmtId="0" fontId="30" fillId="0" borderId="12" xfId="15" applyFont="1" applyBorder="1"/>
    <xf numFmtId="0" fontId="32" fillId="0" borderId="12" xfId="15" applyFont="1" applyBorder="1"/>
    <xf numFmtId="9" fontId="30" fillId="0" borderId="12" xfId="16" applyFont="1" applyBorder="1"/>
    <xf numFmtId="0" fontId="32" fillId="0" borderId="13" xfId="15" applyFont="1" applyBorder="1"/>
    <xf numFmtId="0" fontId="32" fillId="0" borderId="2" xfId="15" applyFont="1" applyBorder="1"/>
    <xf numFmtId="0" fontId="30" fillId="0" borderId="7" xfId="15" applyFont="1" applyBorder="1"/>
    <xf numFmtId="0" fontId="33" fillId="0" borderId="2" xfId="15" applyFont="1" applyBorder="1"/>
    <xf numFmtId="9" fontId="33" fillId="0" borderId="8" xfId="15" applyNumberFormat="1" applyFont="1" applyBorder="1"/>
    <xf numFmtId="0" fontId="30" fillId="0" borderId="8" xfId="15" applyFont="1" applyBorder="1"/>
    <xf numFmtId="0" fontId="30" fillId="0" borderId="9" xfId="15" applyFont="1" applyBorder="1"/>
    <xf numFmtId="171" fontId="32" fillId="0" borderId="0" xfId="17" applyNumberFormat="1" applyFont="1" applyBorder="1"/>
    <xf numFmtId="165" fontId="30" fillId="0" borderId="10" xfId="15" applyNumberFormat="1" applyFont="1" applyBorder="1"/>
    <xf numFmtId="164" fontId="30" fillId="0" borderId="0" xfId="15" applyNumberFormat="1" applyFont="1"/>
    <xf numFmtId="0" fontId="30" fillId="0" borderId="10" xfId="15" applyFont="1" applyBorder="1"/>
    <xf numFmtId="164" fontId="32" fillId="0" borderId="0" xfId="15" applyNumberFormat="1" applyFont="1"/>
    <xf numFmtId="164" fontId="30" fillId="0" borderId="10" xfId="15" applyNumberFormat="1" applyFont="1" applyBorder="1"/>
    <xf numFmtId="0" fontId="37" fillId="0" borderId="0" xfId="15" applyFont="1"/>
    <xf numFmtId="164" fontId="37" fillId="0" borderId="10" xfId="15" applyNumberFormat="1" applyFont="1" applyBorder="1"/>
    <xf numFmtId="0" fontId="17" fillId="0" borderId="10" xfId="9" applyBorder="1"/>
    <xf numFmtId="0" fontId="30" fillId="0" borderId="11" xfId="15" applyFont="1" applyBorder="1"/>
    <xf numFmtId="167" fontId="30" fillId="0" borderId="12" xfId="15" applyNumberFormat="1" applyFont="1" applyBorder="1"/>
    <xf numFmtId="0" fontId="38" fillId="0" borderId="0" xfId="15" applyFont="1"/>
    <xf numFmtId="166" fontId="30" fillId="0" borderId="0" xfId="17" applyFont="1" applyFill="1" applyBorder="1" applyAlignment="1">
      <alignment horizontal="left"/>
    </xf>
    <xf numFmtId="171" fontId="30" fillId="0" borderId="3" xfId="15" applyNumberFormat="1" applyFont="1" applyBorder="1" applyAlignment="1">
      <alignment horizontal="center" wrapText="1"/>
    </xf>
    <xf numFmtId="0" fontId="30" fillId="6" borderId="3" xfId="15" applyFont="1" applyFill="1" applyBorder="1" applyAlignment="1">
      <alignment horizontal="center" wrapText="1"/>
    </xf>
    <xf numFmtId="0" fontId="30" fillId="6" borderId="3" xfId="15" applyFont="1" applyFill="1" applyBorder="1" applyAlignment="1">
      <alignment horizontal="left" wrapText="1"/>
    </xf>
    <xf numFmtId="0" fontId="30" fillId="0" borderId="3" xfId="15" applyFont="1" applyBorder="1" applyAlignment="1">
      <alignment horizontal="left" wrapText="1"/>
    </xf>
    <xf numFmtId="10" fontId="30" fillId="6" borderId="4" xfId="15" applyNumberFormat="1" applyFont="1" applyFill="1" applyBorder="1" applyAlignment="1">
      <alignment horizontal="center" wrapText="1"/>
    </xf>
    <xf numFmtId="0" fontId="39" fillId="0" borderId="0" xfId="15" applyFont="1"/>
    <xf numFmtId="171" fontId="30" fillId="6" borderId="3" xfId="15" applyNumberFormat="1" applyFont="1" applyFill="1" applyBorder="1" applyAlignment="1">
      <alignment horizontal="center" wrapText="1"/>
    </xf>
    <xf numFmtId="167" fontId="32" fillId="6" borderId="3" xfId="15" applyNumberFormat="1" applyFont="1" applyFill="1" applyBorder="1" applyAlignment="1">
      <alignment horizontal="center" wrapText="1"/>
    </xf>
    <xf numFmtId="9" fontId="32" fillId="6" borderId="3" xfId="16" applyFont="1" applyFill="1" applyBorder="1" applyAlignment="1">
      <alignment horizontal="center" wrapText="1"/>
    </xf>
    <xf numFmtId="0" fontId="32" fillId="6" borderId="3" xfId="15" applyFont="1" applyFill="1" applyBorder="1" applyAlignment="1">
      <alignment horizontal="center" wrapText="1"/>
    </xf>
    <xf numFmtId="9" fontId="32" fillId="0" borderId="3" xfId="16" applyFont="1" applyFill="1" applyBorder="1" applyAlignment="1">
      <alignment horizontal="center" wrapText="1"/>
    </xf>
    <xf numFmtId="168" fontId="32" fillId="6" borderId="3" xfId="15" applyNumberFormat="1" applyFont="1" applyFill="1" applyBorder="1" applyAlignment="1">
      <alignment horizontal="center" wrapText="1"/>
    </xf>
    <xf numFmtId="9" fontId="32" fillId="6" borderId="4" xfId="15" applyNumberFormat="1" applyFont="1" applyFill="1" applyBorder="1" applyAlignment="1">
      <alignment horizontal="center" wrapText="1"/>
    </xf>
    <xf numFmtId="0" fontId="32" fillId="0" borderId="3" xfId="15" applyFont="1" applyBorder="1" applyAlignment="1">
      <alignment horizontal="left" wrapText="1"/>
    </xf>
    <xf numFmtId="0" fontId="30" fillId="6" borderId="6" xfId="15" applyFont="1" applyFill="1" applyBorder="1" applyAlignment="1">
      <alignment horizontal="center" wrapText="1"/>
    </xf>
    <xf numFmtId="0" fontId="30" fillId="6" borderId="6" xfId="15" applyFont="1" applyFill="1" applyBorder="1" applyAlignment="1">
      <alignment horizontal="left" wrapText="1"/>
    </xf>
    <xf numFmtId="0" fontId="40" fillId="0" borderId="3" xfId="9" applyFont="1" applyBorder="1" applyAlignment="1">
      <alignment horizontal="center" wrapText="1"/>
    </xf>
    <xf numFmtId="0" fontId="30" fillId="0" borderId="3" xfId="15" applyFont="1" applyBorder="1" applyAlignment="1">
      <alignment horizontal="center" vertical="center" wrapText="1"/>
    </xf>
    <xf numFmtId="171" fontId="30" fillId="0" borderId="3" xfId="17" applyNumberFormat="1" applyFont="1" applyBorder="1" applyAlignment="1">
      <alignment horizontal="center" vertical="center" wrapText="1"/>
    </xf>
    <xf numFmtId="0" fontId="30" fillId="0" borderId="3" xfId="15" applyFont="1" applyBorder="1" applyAlignment="1">
      <alignment horizontal="center"/>
    </xf>
    <xf numFmtId="0" fontId="30" fillId="2" borderId="3" xfId="15" applyFont="1" applyFill="1" applyBorder="1" applyAlignment="1">
      <alignment horizontal="center" wrapText="1"/>
    </xf>
    <xf numFmtId="0" fontId="41" fillId="0" borderId="3" xfId="9" applyFont="1" applyBorder="1" applyAlignment="1">
      <alignment horizontal="center"/>
    </xf>
    <xf numFmtId="0" fontId="30" fillId="0" borderId="0" xfId="15" applyFont="1" applyAlignment="1">
      <alignment horizontal="center" vertical="center"/>
    </xf>
    <xf numFmtId="0" fontId="32" fillId="9" borderId="0" xfId="15" applyFont="1" applyFill="1"/>
    <xf numFmtId="0" fontId="32" fillId="9" borderId="1" xfId="15" applyFont="1" applyFill="1" applyBorder="1"/>
    <xf numFmtId="0" fontId="32" fillId="9" borderId="0" xfId="15" applyFont="1" applyFill="1" applyAlignment="1">
      <alignment horizontal="right"/>
    </xf>
    <xf numFmtId="0" fontId="32" fillId="9" borderId="1" xfId="15" applyFont="1" applyFill="1" applyBorder="1" applyAlignment="1">
      <alignment horizontal="right"/>
    </xf>
    <xf numFmtId="0" fontId="32" fillId="6" borderId="3" xfId="17" applyNumberFormat="1" applyFont="1" applyFill="1" applyBorder="1" applyAlignment="1">
      <alignment horizontal="center" vertical="center" wrapText="1"/>
    </xf>
    <xf numFmtId="0" fontId="39" fillId="0" borderId="0" xfId="15" applyFont="1" applyAlignment="1">
      <alignment wrapText="1"/>
    </xf>
    <xf numFmtId="0" fontId="39" fillId="0" borderId="0" xfId="15" applyFont="1" applyAlignment="1">
      <alignment horizontal="left" wrapText="1"/>
    </xf>
    <xf numFmtId="1" fontId="32" fillId="6" borderId="3" xfId="15" applyNumberFormat="1" applyFont="1" applyFill="1" applyBorder="1" applyAlignment="1">
      <alignment horizontal="center" wrapText="1"/>
    </xf>
    <xf numFmtId="0" fontId="30" fillId="10" borderId="0" xfId="15" applyFont="1" applyFill="1"/>
    <xf numFmtId="166" fontId="30" fillId="0" borderId="3" xfId="17" applyFont="1" applyFill="1" applyBorder="1" applyAlignment="1">
      <alignment horizontal="center" wrapText="1"/>
    </xf>
    <xf numFmtId="171" fontId="30" fillId="10" borderId="0" xfId="17" applyNumberFormat="1" applyFont="1" applyFill="1"/>
    <xf numFmtId="0" fontId="41" fillId="0" borderId="3" xfId="9" applyFont="1" applyBorder="1" applyAlignment="1">
      <alignment horizontal="center" wrapText="1"/>
    </xf>
    <xf numFmtId="0" fontId="39" fillId="0" borderId="3" xfId="15" applyFont="1" applyBorder="1" applyAlignment="1">
      <alignment horizontal="center" wrapText="1"/>
    </xf>
    <xf numFmtId="166" fontId="30" fillId="0" borderId="3" xfId="17" applyFont="1" applyBorder="1" applyAlignment="1">
      <alignment horizontal="center" wrapText="1"/>
    </xf>
    <xf numFmtId="0" fontId="30" fillId="10" borderId="0" xfId="15" applyFont="1" applyFill="1" applyAlignment="1">
      <alignment horizontal="center" vertical="center"/>
    </xf>
    <xf numFmtId="1" fontId="30" fillId="6" borderId="3" xfId="15" applyNumberFormat="1" applyFont="1" applyFill="1" applyBorder="1" applyAlignment="1">
      <alignment horizontal="center" wrapText="1"/>
    </xf>
    <xf numFmtId="1" fontId="30" fillId="0" borderId="3" xfId="15" applyNumberFormat="1" applyFont="1" applyBorder="1" applyAlignment="1">
      <alignment horizontal="center" wrapText="1"/>
    </xf>
    <xf numFmtId="171" fontId="30" fillId="0" borderId="3" xfId="17" applyNumberFormat="1" applyFont="1" applyBorder="1" applyAlignment="1">
      <alignment horizontal="center" wrapText="1"/>
    </xf>
    <xf numFmtId="171" fontId="30" fillId="6" borderId="3" xfId="17" applyNumberFormat="1" applyFont="1" applyFill="1" applyBorder="1" applyAlignment="1">
      <alignment horizontal="center" wrapText="1"/>
    </xf>
    <xf numFmtId="0" fontId="30" fillId="11" borderId="3" xfId="15" applyFont="1" applyFill="1" applyBorder="1" applyAlignment="1">
      <alignment horizontal="center" wrapText="1"/>
    </xf>
    <xf numFmtId="0" fontId="40" fillId="11" borderId="3" xfId="9" applyFont="1" applyFill="1" applyBorder="1" applyAlignment="1">
      <alignment horizontal="center" wrapText="1"/>
    </xf>
    <xf numFmtId="0" fontId="39" fillId="11" borderId="3" xfId="15" applyFont="1" applyFill="1" applyBorder="1" applyAlignment="1">
      <alignment horizontal="center"/>
    </xf>
    <xf numFmtId="0" fontId="39" fillId="11" borderId="3" xfId="15" applyFont="1" applyFill="1" applyBorder="1" applyAlignment="1">
      <alignment horizontal="center" wrapText="1"/>
    </xf>
    <xf numFmtId="0" fontId="30" fillId="12" borderId="0" xfId="15" applyFont="1" applyFill="1"/>
    <xf numFmtId="0" fontId="42" fillId="12" borderId="0" xfId="15" applyFont="1" applyFill="1"/>
    <xf numFmtId="166" fontId="30" fillId="0" borderId="0" xfId="17" applyFont="1" applyFill="1" applyBorder="1" applyAlignment="1">
      <alignment horizontal="center" wrapText="1"/>
    </xf>
    <xf numFmtId="0" fontId="30" fillId="0" borderId="0" xfId="15" applyFont="1" applyAlignment="1">
      <alignment horizontal="left" wrapText="1"/>
    </xf>
    <xf numFmtId="166" fontId="30" fillId="0" borderId="1" xfId="17" applyFont="1" applyFill="1" applyBorder="1" applyAlignment="1">
      <alignment horizontal="center" wrapText="1"/>
    </xf>
    <xf numFmtId="0" fontId="30" fillId="0" borderId="14" xfId="15" applyFont="1" applyBorder="1"/>
    <xf numFmtId="0" fontId="34" fillId="8" borderId="15" xfId="15" applyFont="1" applyFill="1" applyBorder="1" applyAlignment="1">
      <alignment horizontal="center" vertical="center" wrapText="1"/>
    </xf>
    <xf numFmtId="171" fontId="32" fillId="10" borderId="1" xfId="15" applyNumberFormat="1" applyFont="1" applyFill="1" applyBorder="1"/>
    <xf numFmtId="171" fontId="30" fillId="0" borderId="1" xfId="15" applyNumberFormat="1" applyFont="1" applyBorder="1"/>
    <xf numFmtId="0" fontId="17" fillId="0" borderId="1" xfId="9" applyBorder="1"/>
    <xf numFmtId="171" fontId="32" fillId="0" borderId="1" xfId="15" applyNumberFormat="1" applyFont="1" applyBorder="1"/>
    <xf numFmtId="0" fontId="30" fillId="0" borderId="1" xfId="17" applyNumberFormat="1" applyFont="1" applyBorder="1"/>
    <xf numFmtId="169" fontId="32" fillId="0" borderId="0" xfId="15" applyNumberFormat="1" applyFont="1"/>
    <xf numFmtId="171" fontId="32" fillId="10" borderId="18" xfId="17" applyNumberFormat="1" applyFont="1" applyFill="1" applyBorder="1"/>
    <xf numFmtId="169" fontId="32" fillId="0" borderId="19" xfId="15" applyNumberFormat="1" applyFont="1" applyBorder="1"/>
    <xf numFmtId="171" fontId="32" fillId="0" borderId="18" xfId="17" applyNumberFormat="1" applyFont="1" applyBorder="1"/>
    <xf numFmtId="171" fontId="32" fillId="0" borderId="20" xfId="17" applyNumberFormat="1" applyFont="1" applyBorder="1"/>
    <xf numFmtId="0" fontId="32" fillId="0" borderId="21" xfId="15" applyFont="1" applyBorder="1"/>
    <xf numFmtId="0" fontId="32" fillId="0" borderId="22" xfId="15" applyFont="1" applyBorder="1"/>
    <xf numFmtId="0" fontId="32" fillId="0" borderId="14" xfId="15" applyFont="1" applyBorder="1"/>
    <xf numFmtId="171" fontId="30" fillId="0" borderId="23" xfId="17" applyNumberFormat="1" applyFont="1" applyBorder="1"/>
    <xf numFmtId="9" fontId="30" fillId="0" borderId="23" xfId="16" applyFont="1" applyBorder="1"/>
    <xf numFmtId="9" fontId="30" fillId="0" borderId="24" xfId="15" applyNumberFormat="1" applyFont="1" applyBorder="1"/>
    <xf numFmtId="171" fontId="30" fillId="0" borderId="25" xfId="17" applyNumberFormat="1" applyFont="1" applyBorder="1"/>
    <xf numFmtId="9" fontId="30" fillId="0" borderId="26" xfId="15" applyNumberFormat="1" applyFont="1" applyBorder="1"/>
    <xf numFmtId="0" fontId="30" fillId="0" borderId="27" xfId="15" applyFont="1" applyBorder="1"/>
    <xf numFmtId="0" fontId="30" fillId="0" borderId="25" xfId="15" applyFont="1" applyBorder="1"/>
    <xf numFmtId="0" fontId="30" fillId="0" borderId="23" xfId="15" applyFont="1" applyBorder="1"/>
    <xf numFmtId="171" fontId="30" fillId="0" borderId="28" xfId="17" applyNumberFormat="1" applyFont="1" applyBorder="1"/>
    <xf numFmtId="9" fontId="30" fillId="0" borderId="28" xfId="16" applyFont="1" applyBorder="1"/>
    <xf numFmtId="9" fontId="30" fillId="0" borderId="29" xfId="15" applyNumberFormat="1" applyFont="1" applyBorder="1"/>
    <xf numFmtId="171" fontId="30" fillId="0" borderId="30" xfId="17" applyNumberFormat="1" applyFont="1" applyBorder="1"/>
    <xf numFmtId="0" fontId="30" fillId="0" borderId="30" xfId="15" applyFont="1" applyBorder="1"/>
    <xf numFmtId="0" fontId="30" fillId="0" borderId="28" xfId="15" applyFont="1" applyBorder="1"/>
    <xf numFmtId="171" fontId="30" fillId="0" borderId="31" xfId="15" applyNumberFormat="1" applyFont="1" applyBorder="1"/>
    <xf numFmtId="10" fontId="30" fillId="0" borderId="19" xfId="15" applyNumberFormat="1" applyFont="1" applyBorder="1"/>
    <xf numFmtId="10" fontId="30" fillId="0" borderId="21" xfId="15" applyNumberFormat="1" applyFont="1" applyBorder="1"/>
    <xf numFmtId="10" fontId="30" fillId="0" borderId="22" xfId="15" applyNumberFormat="1" applyFont="1" applyBorder="1"/>
    <xf numFmtId="0" fontId="30" fillId="0" borderId="18" xfId="15" applyFont="1" applyBorder="1"/>
    <xf numFmtId="171" fontId="30" fillId="0" borderId="31" xfId="17" applyNumberFormat="1" applyFont="1" applyBorder="1"/>
    <xf numFmtId="169" fontId="30" fillId="0" borderId="1" xfId="16" applyNumberFormat="1" applyFont="1" applyBorder="1"/>
    <xf numFmtId="169" fontId="30" fillId="0" borderId="24" xfId="16" applyNumberFormat="1" applyFont="1" applyBorder="1"/>
    <xf numFmtId="10" fontId="30" fillId="0" borderId="25" xfId="15" applyNumberFormat="1" applyFont="1" applyBorder="1"/>
    <xf numFmtId="10" fontId="30" fillId="0" borderId="23" xfId="15" applyNumberFormat="1" applyFont="1" applyBorder="1"/>
    <xf numFmtId="0" fontId="30" fillId="0" borderId="32" xfId="15" applyFont="1" applyBorder="1"/>
    <xf numFmtId="0" fontId="30" fillId="0" borderId="32" xfId="15" applyFont="1" applyBorder="1" applyAlignment="1">
      <alignment horizontal="right"/>
    </xf>
    <xf numFmtId="171" fontId="30" fillId="0" borderId="0" xfId="17" applyNumberFormat="1" applyFont="1"/>
    <xf numFmtId="169" fontId="30" fillId="0" borderId="14" xfId="16" applyNumberFormat="1" applyFont="1" applyBorder="1"/>
    <xf numFmtId="0" fontId="34" fillId="8" borderId="0" xfId="15" applyFont="1" applyFill="1" applyAlignment="1">
      <alignment horizontal="center" vertical="center" wrapText="1"/>
    </xf>
    <xf numFmtId="0" fontId="34" fillId="8" borderId="33" xfId="15" applyFont="1" applyFill="1" applyBorder="1" applyAlignment="1">
      <alignment horizontal="center" vertical="center" wrapText="1"/>
    </xf>
    <xf numFmtId="0" fontId="34" fillId="8" borderId="34" xfId="15" applyFont="1" applyFill="1" applyBorder="1" applyAlignment="1">
      <alignment horizontal="center" vertical="center" wrapText="1"/>
    </xf>
    <xf numFmtId="0" fontId="34" fillId="8" borderId="35" xfId="15" applyFont="1" applyFill="1" applyBorder="1" applyAlignment="1">
      <alignment horizontal="center" vertical="center" wrapText="1"/>
    </xf>
    <xf numFmtId="0" fontId="34" fillId="8" borderId="40" xfId="15" applyFont="1" applyFill="1" applyBorder="1" applyAlignment="1">
      <alignment horizontal="center" vertical="center" wrapText="1"/>
    </xf>
    <xf numFmtId="166" fontId="30" fillId="6" borderId="1" xfId="17" applyFont="1" applyFill="1" applyBorder="1" applyAlignment="1">
      <alignment horizontal="center" wrapText="1"/>
    </xf>
    <xf numFmtId="0" fontId="30" fillId="6" borderId="1" xfId="15" applyFont="1" applyFill="1" applyBorder="1" applyAlignment="1">
      <alignment horizontal="left" wrapText="1"/>
    </xf>
    <xf numFmtId="0" fontId="30" fillId="0" borderId="0" xfId="15" applyFont="1" applyAlignment="1">
      <alignment horizontal="right" wrapText="1"/>
    </xf>
    <xf numFmtId="10" fontId="30" fillId="0" borderId="0" xfId="15" applyNumberFormat="1" applyFont="1"/>
    <xf numFmtId="17" fontId="30" fillId="6" borderId="1" xfId="17" applyNumberFormat="1" applyFont="1" applyFill="1" applyBorder="1" applyAlignment="1">
      <alignment horizontal="center" wrapText="1"/>
    </xf>
    <xf numFmtId="0" fontId="30" fillId="6" borderId="1" xfId="15" applyFont="1" applyFill="1" applyBorder="1"/>
    <xf numFmtId="9" fontId="30" fillId="0" borderId="0" xfId="17" applyNumberFormat="1" applyFont="1" applyFill="1" applyBorder="1" applyAlignment="1">
      <alignment horizontal="center" wrapText="1"/>
    </xf>
    <xf numFmtId="9" fontId="30" fillId="0" borderId="5" xfId="17" applyNumberFormat="1" applyFont="1" applyFill="1" applyBorder="1" applyAlignment="1">
      <alignment horizontal="center" wrapText="1"/>
    </xf>
    <xf numFmtId="166" fontId="30" fillId="0" borderId="5" xfId="17" applyFont="1" applyFill="1" applyBorder="1" applyAlignment="1">
      <alignment horizontal="center" wrapText="1"/>
    </xf>
    <xf numFmtId="0" fontId="32" fillId="11" borderId="1" xfId="15" applyFont="1" applyFill="1" applyBorder="1" applyAlignment="1">
      <alignment horizontal="center"/>
    </xf>
    <xf numFmtId="9" fontId="32" fillId="11" borderId="1" xfId="16" applyFont="1" applyFill="1" applyBorder="1" applyAlignment="1">
      <alignment horizontal="center"/>
    </xf>
    <xf numFmtId="1" fontId="32" fillId="11" borderId="1" xfId="15" applyNumberFormat="1" applyFont="1" applyFill="1" applyBorder="1" applyAlignment="1">
      <alignment horizontal="center"/>
    </xf>
    <xf numFmtId="0" fontId="32" fillId="11" borderId="1" xfId="15" applyFont="1" applyFill="1" applyBorder="1"/>
    <xf numFmtId="9" fontId="30" fillId="0" borderId="1" xfId="16" applyFont="1" applyBorder="1" applyAlignment="1">
      <alignment horizontal="center"/>
    </xf>
    <xf numFmtId="0" fontId="30" fillId="0" borderId="1" xfId="15" applyFont="1" applyBorder="1" applyAlignment="1">
      <alignment horizontal="center"/>
    </xf>
    <xf numFmtId="166" fontId="30" fillId="0" borderId="1" xfId="17" applyFont="1" applyBorder="1"/>
    <xf numFmtId="166" fontId="30" fillId="0" borderId="1" xfId="15" applyNumberFormat="1" applyFont="1" applyBorder="1"/>
    <xf numFmtId="166" fontId="30" fillId="0" borderId="1" xfId="17" applyFont="1" applyFill="1" applyBorder="1"/>
    <xf numFmtId="1" fontId="30" fillId="0" borderId="1" xfId="15" applyNumberFormat="1" applyFont="1" applyBorder="1" applyAlignment="1">
      <alignment horizontal="center"/>
    </xf>
    <xf numFmtId="0" fontId="30" fillId="13" borderId="1" xfId="15" applyFont="1" applyFill="1" applyBorder="1" applyAlignment="1">
      <alignment horizontal="center"/>
    </xf>
    <xf numFmtId="0" fontId="30" fillId="0" borderId="0" xfId="15" applyFont="1" applyAlignment="1">
      <alignment vertical="center" wrapText="1"/>
    </xf>
    <xf numFmtId="0" fontId="30" fillId="10" borderId="1" xfId="15" applyFont="1" applyFill="1" applyBorder="1" applyAlignment="1">
      <alignment horizontal="center" vertical="center" wrapText="1"/>
    </xf>
    <xf numFmtId="0" fontId="30" fillId="10" borderId="1" xfId="15" applyFont="1" applyFill="1" applyBorder="1" applyAlignment="1">
      <alignment vertical="center" wrapText="1"/>
    </xf>
    <xf numFmtId="0" fontId="30" fillId="10" borderId="1" xfId="15" applyFont="1" applyFill="1" applyBorder="1"/>
    <xf numFmtId="169" fontId="0" fillId="0" borderId="0" xfId="0" applyNumberFormat="1"/>
    <xf numFmtId="9" fontId="26" fillId="0" borderId="0" xfId="0" applyNumberFormat="1" applyFont="1"/>
    <xf numFmtId="176" fontId="30" fillId="0" borderId="0" xfId="17" applyNumberFormat="1" applyFont="1"/>
    <xf numFmtId="176" fontId="30" fillId="0" borderId="2" xfId="17" applyNumberFormat="1" applyFont="1" applyBorder="1"/>
    <xf numFmtId="176" fontId="30" fillId="0" borderId="0" xfId="17" applyNumberFormat="1" applyFont="1" applyBorder="1"/>
    <xf numFmtId="177" fontId="30" fillId="0" borderId="0" xfId="15" applyNumberFormat="1" applyFont="1"/>
    <xf numFmtId="176" fontId="30" fillId="0" borderId="0" xfId="15" applyNumberFormat="1" applyFont="1"/>
    <xf numFmtId="177" fontId="32" fillId="0" borderId="0" xfId="15" applyNumberFormat="1" applyFont="1"/>
    <xf numFmtId="9" fontId="32" fillId="0" borderId="0" xfId="15" applyNumberFormat="1" applyFont="1"/>
    <xf numFmtId="9" fontId="30" fillId="0" borderId="41" xfId="15" applyNumberFormat="1" applyFont="1" applyBorder="1" applyAlignment="1">
      <alignment horizontal="center" wrapText="1"/>
    </xf>
    <xf numFmtId="9" fontId="30" fillId="0" borderId="41" xfId="15" applyNumberFormat="1" applyFont="1" applyBorder="1" applyAlignment="1">
      <alignment horizontal="left" wrapText="1"/>
    </xf>
    <xf numFmtId="0" fontId="30" fillId="14" borderId="0" xfId="15" applyFont="1" applyFill="1"/>
    <xf numFmtId="166" fontId="30" fillId="0" borderId="3" xfId="15" applyNumberFormat="1" applyFont="1" applyBorder="1" applyAlignment="1">
      <alignment horizontal="center" wrapText="1"/>
    </xf>
    <xf numFmtId="2" fontId="30" fillId="0" borderId="3" xfId="15" applyNumberFormat="1" applyFont="1" applyBorder="1" applyAlignment="1">
      <alignment horizontal="center" wrapText="1"/>
    </xf>
    <xf numFmtId="173" fontId="32" fillId="6" borderId="3" xfId="15" applyNumberFormat="1" applyFont="1" applyFill="1" applyBorder="1" applyAlignment="1">
      <alignment horizontal="center" wrapText="1"/>
    </xf>
    <xf numFmtId="173" fontId="30" fillId="6" borderId="3" xfId="15" applyNumberFormat="1" applyFont="1" applyFill="1" applyBorder="1" applyAlignment="1">
      <alignment horizontal="center" wrapText="1"/>
    </xf>
    <xf numFmtId="0" fontId="17" fillId="0" borderId="3" xfId="9" applyBorder="1" applyAlignment="1">
      <alignment horizontal="center" wrapText="1"/>
    </xf>
    <xf numFmtId="177" fontId="30" fillId="0" borderId="3" xfId="15" applyNumberFormat="1" applyFont="1" applyBorder="1" applyAlignment="1">
      <alignment horizontal="center" wrapText="1"/>
    </xf>
    <xf numFmtId="166" fontId="11" fillId="0" borderId="0" xfId="15" applyNumberFormat="1" applyFont="1"/>
    <xf numFmtId="2" fontId="30" fillId="6" borderId="3" xfId="15" applyNumberFormat="1" applyFont="1" applyFill="1" applyBorder="1" applyAlignment="1">
      <alignment horizontal="center" wrapText="1"/>
    </xf>
    <xf numFmtId="0" fontId="11" fillId="0" borderId="0" xfId="15" applyFont="1"/>
    <xf numFmtId="0" fontId="30" fillId="15" borderId="3" xfId="15" applyFont="1" applyFill="1" applyBorder="1" applyAlignment="1">
      <alignment horizontal="center"/>
    </xf>
    <xf numFmtId="9" fontId="30" fillId="0" borderId="3" xfId="15" applyNumberFormat="1" applyFont="1" applyBorder="1" applyAlignment="1">
      <alignment horizontal="center" wrapText="1"/>
    </xf>
    <xf numFmtId="0" fontId="30" fillId="16" borderId="0" xfId="15" applyFont="1" applyFill="1"/>
    <xf numFmtId="167" fontId="11" fillId="0" borderId="0" xfId="15" applyNumberFormat="1" applyFont="1"/>
    <xf numFmtId="166" fontId="30" fillId="0" borderId="0" xfId="15" applyNumberFormat="1" applyFont="1" applyAlignment="1">
      <alignment horizontal="center" wrapText="1"/>
    </xf>
    <xf numFmtId="0" fontId="30" fillId="0" borderId="0" xfId="15" applyFont="1" applyAlignment="1">
      <alignment horizontal="center" wrapText="1"/>
    </xf>
    <xf numFmtId="9" fontId="30" fillId="0" borderId="0" xfId="15" applyNumberFormat="1" applyFont="1" applyAlignment="1">
      <alignment horizontal="center" wrapText="1"/>
    </xf>
    <xf numFmtId="9" fontId="30" fillId="6" borderId="3" xfId="16" applyFont="1" applyFill="1" applyBorder="1" applyAlignment="1">
      <alignment horizontal="center" wrapText="1"/>
    </xf>
    <xf numFmtId="171" fontId="30" fillId="0" borderId="0" xfId="17" applyNumberFormat="1" applyFont="1" applyBorder="1" applyAlignment="1">
      <alignment horizontal="center" wrapText="1"/>
    </xf>
    <xf numFmtId="0" fontId="30" fillId="6" borderId="0" xfId="15" applyFont="1" applyFill="1" applyAlignment="1">
      <alignment horizontal="center" wrapText="1"/>
    </xf>
    <xf numFmtId="0" fontId="30" fillId="6" borderId="0" xfId="15" applyFont="1" applyFill="1" applyAlignment="1">
      <alignment horizontal="center"/>
    </xf>
    <xf numFmtId="0" fontId="30" fillId="6" borderId="0" xfId="15" applyFont="1" applyFill="1" applyAlignment="1">
      <alignment horizontal="left" wrapText="1"/>
    </xf>
    <xf numFmtId="0" fontId="30" fillId="6" borderId="3" xfId="15" applyFont="1" applyFill="1" applyBorder="1" applyAlignment="1">
      <alignment horizontal="center"/>
    </xf>
    <xf numFmtId="0" fontId="43" fillId="0" borderId="0" xfId="15" applyFont="1"/>
    <xf numFmtId="0" fontId="41" fillId="6" borderId="3" xfId="9" applyFont="1" applyFill="1" applyBorder="1" applyAlignment="1">
      <alignment horizontal="center"/>
    </xf>
    <xf numFmtId="0" fontId="30" fillId="0" borderId="42" xfId="15" applyFont="1" applyBorder="1"/>
    <xf numFmtId="0" fontId="30" fillId="6" borderId="17" xfId="15" applyFont="1" applyFill="1" applyBorder="1" applyAlignment="1">
      <alignment horizontal="center" wrapText="1"/>
    </xf>
    <xf numFmtId="0" fontId="39" fillId="0" borderId="0" xfId="15" applyFont="1" applyAlignment="1">
      <alignment horizontal="center"/>
    </xf>
    <xf numFmtId="0" fontId="39" fillId="6" borderId="3" xfId="15" applyFont="1" applyFill="1" applyBorder="1" applyAlignment="1">
      <alignment horizontal="center" wrapText="1"/>
    </xf>
    <xf numFmtId="0" fontId="39" fillId="14" borderId="3" xfId="15" applyFont="1" applyFill="1" applyBorder="1" applyAlignment="1">
      <alignment horizontal="center" wrapText="1"/>
    </xf>
    <xf numFmtId="171" fontId="30" fillId="0" borderId="0" xfId="17" applyNumberFormat="1" applyFont="1" applyAlignment="1"/>
    <xf numFmtId="0" fontId="41" fillId="15" borderId="3" xfId="9" applyFont="1" applyFill="1" applyBorder="1" applyAlignment="1">
      <alignment horizontal="center"/>
    </xf>
    <xf numFmtId="0" fontId="40" fillId="0" borderId="3" xfId="9" applyFont="1" applyBorder="1" applyAlignment="1">
      <alignment horizontal="center"/>
    </xf>
    <xf numFmtId="0" fontId="30" fillId="16" borderId="3" xfId="15" applyFont="1" applyFill="1" applyBorder="1" applyAlignment="1">
      <alignment horizontal="center" wrapText="1"/>
    </xf>
    <xf numFmtId="0" fontId="30" fillId="15" borderId="3" xfId="15" applyFont="1" applyFill="1" applyBorder="1" applyAlignment="1">
      <alignment horizontal="center" wrapText="1"/>
    </xf>
    <xf numFmtId="176" fontId="30" fillId="0" borderId="3" xfId="15" applyNumberFormat="1" applyFont="1" applyBorder="1" applyAlignment="1">
      <alignment horizontal="center" wrapText="1"/>
    </xf>
    <xf numFmtId="2" fontId="30" fillId="0" borderId="3" xfId="15" applyNumberFormat="1" applyFont="1" applyBorder="1" applyAlignment="1">
      <alignment horizontal="left" wrapText="1"/>
    </xf>
    <xf numFmtId="166" fontId="30" fillId="0" borderId="0" xfId="17" applyFont="1"/>
    <xf numFmtId="0" fontId="41" fillId="15" borderId="3" xfId="9" applyFont="1" applyFill="1" applyBorder="1" applyAlignment="1">
      <alignment horizontal="center" wrapText="1"/>
    </xf>
    <xf numFmtId="0" fontId="34" fillId="0" borderId="0" xfId="15" applyFont="1" applyAlignment="1">
      <alignment horizontal="center" vertical="center" wrapText="1"/>
    </xf>
    <xf numFmtId="168" fontId="32" fillId="0" borderId="0" xfId="15" applyNumberFormat="1" applyFont="1" applyAlignment="1">
      <alignment horizontal="center" wrapText="1"/>
    </xf>
    <xf numFmtId="9" fontId="32" fillId="0" borderId="0" xfId="15" applyNumberFormat="1" applyFont="1" applyAlignment="1">
      <alignment horizontal="center" wrapText="1"/>
    </xf>
    <xf numFmtId="0" fontId="32" fillId="0" borderId="0" xfId="15" applyFont="1" applyAlignment="1">
      <alignment horizontal="left" wrapText="1"/>
    </xf>
    <xf numFmtId="9" fontId="30" fillId="0" borderId="0" xfId="16" applyFont="1" applyFill="1" applyBorder="1" applyAlignment="1">
      <alignment horizontal="left" wrapText="1"/>
    </xf>
    <xf numFmtId="2" fontId="30" fillId="0" borderId="0" xfId="15" applyNumberFormat="1" applyFont="1" applyAlignment="1">
      <alignment horizontal="left" wrapText="1"/>
    </xf>
    <xf numFmtId="9" fontId="32" fillId="2" borderId="0" xfId="16" applyFont="1" applyFill="1" applyBorder="1" applyAlignment="1">
      <alignment horizontal="left" wrapText="1"/>
    </xf>
    <xf numFmtId="9" fontId="32" fillId="2" borderId="6" xfId="16" applyFont="1" applyFill="1" applyBorder="1" applyAlignment="1">
      <alignment horizontal="left" wrapText="1"/>
    </xf>
    <xf numFmtId="2" fontId="32" fillId="2" borderId="6" xfId="15" applyNumberFormat="1" applyFont="1" applyFill="1" applyBorder="1" applyAlignment="1">
      <alignment horizontal="left" wrapText="1"/>
    </xf>
    <xf numFmtId="0" fontId="32" fillId="2" borderId="6" xfId="15" applyFont="1" applyFill="1" applyBorder="1" applyAlignment="1">
      <alignment horizontal="left" wrapText="1"/>
    </xf>
    <xf numFmtId="9" fontId="30" fillId="0" borderId="6" xfId="16" applyFont="1" applyFill="1" applyBorder="1" applyAlignment="1">
      <alignment horizontal="left" wrapText="1"/>
    </xf>
    <xf numFmtId="2" fontId="30" fillId="0" borderId="6" xfId="15" applyNumberFormat="1" applyFont="1" applyBorder="1" applyAlignment="1">
      <alignment horizontal="left" wrapText="1"/>
    </xf>
    <xf numFmtId="9" fontId="30" fillId="2" borderId="0" xfId="16" applyFont="1" applyFill="1" applyBorder="1" applyAlignment="1">
      <alignment horizontal="left" wrapText="1"/>
    </xf>
    <xf numFmtId="9" fontId="30" fillId="2" borderId="6" xfId="16" applyFont="1" applyFill="1" applyBorder="1" applyAlignment="1">
      <alignment horizontal="left" wrapText="1"/>
    </xf>
    <xf numFmtId="2" fontId="30" fillId="2" borderId="6" xfId="15" applyNumberFormat="1" applyFont="1" applyFill="1" applyBorder="1" applyAlignment="1">
      <alignment horizontal="left" wrapText="1"/>
    </xf>
    <xf numFmtId="0" fontId="30" fillId="2" borderId="6" xfId="15" applyFont="1" applyFill="1" applyBorder="1" applyAlignment="1">
      <alignment horizontal="left" wrapText="1"/>
    </xf>
    <xf numFmtId="9" fontId="30" fillId="0" borderId="47" xfId="16" applyFont="1" applyFill="1" applyBorder="1" applyAlignment="1">
      <alignment horizontal="left" wrapText="1"/>
    </xf>
    <xf numFmtId="2" fontId="30" fillId="0" borderId="47" xfId="15" applyNumberFormat="1" applyFont="1" applyBorder="1" applyAlignment="1">
      <alignment horizontal="left" wrapText="1"/>
    </xf>
    <xf numFmtId="0" fontId="30" fillId="0" borderId="47" xfId="15" applyFont="1" applyBorder="1" applyAlignment="1">
      <alignment horizontal="left" wrapText="1"/>
    </xf>
    <xf numFmtId="9" fontId="30" fillId="0" borderId="1" xfId="16" applyFont="1" applyFill="1" applyBorder="1" applyAlignment="1">
      <alignment horizontal="left" wrapText="1"/>
    </xf>
    <xf numFmtId="2" fontId="30" fillId="0" borderId="1" xfId="15" applyNumberFormat="1" applyFont="1" applyBorder="1" applyAlignment="1">
      <alignment horizontal="left" wrapText="1"/>
    </xf>
    <xf numFmtId="0" fontId="30" fillId="0" borderId="1" xfId="15" applyFont="1" applyBorder="1" applyAlignment="1">
      <alignment horizontal="left" wrapText="1"/>
    </xf>
    <xf numFmtId="9" fontId="30" fillId="0" borderId="48" xfId="16" applyFont="1" applyFill="1" applyBorder="1" applyAlignment="1">
      <alignment horizontal="left" wrapText="1"/>
    </xf>
    <xf numFmtId="2" fontId="30" fillId="0" borderId="48" xfId="15" applyNumberFormat="1" applyFont="1" applyBorder="1" applyAlignment="1">
      <alignment horizontal="left" wrapText="1"/>
    </xf>
    <xf numFmtId="0" fontId="30" fillId="0" borderId="48" xfId="15" applyFont="1" applyBorder="1" applyAlignment="1">
      <alignment horizontal="left" wrapText="1"/>
    </xf>
    <xf numFmtId="0" fontId="44" fillId="18" borderId="0" xfId="15" applyFont="1" applyFill="1" applyAlignment="1">
      <alignment horizontal="center"/>
    </xf>
    <xf numFmtId="0" fontId="44" fillId="18" borderId="49" xfId="15" applyFont="1" applyFill="1" applyBorder="1" applyAlignment="1">
      <alignment horizontal="center" vertical="center"/>
    </xf>
    <xf numFmtId="0" fontId="44" fillId="18" borderId="0" xfId="15" applyFont="1" applyFill="1" applyAlignment="1">
      <alignment horizontal="center" vertical="center"/>
    </xf>
    <xf numFmtId="0" fontId="44" fillId="18" borderId="1" xfId="15" applyFont="1" applyFill="1" applyBorder="1" applyAlignment="1">
      <alignment horizontal="center" vertical="center"/>
    </xf>
    <xf numFmtId="0" fontId="44" fillId="18" borderId="1" xfId="15" applyFont="1" applyFill="1" applyBorder="1" applyAlignment="1">
      <alignment vertical="center" wrapText="1"/>
    </xf>
    <xf numFmtId="0" fontId="44" fillId="18" borderId="1" xfId="15" applyFont="1" applyFill="1" applyBorder="1"/>
    <xf numFmtId="0" fontId="44" fillId="18" borderId="0" xfId="15" applyFont="1" applyFill="1"/>
    <xf numFmtId="166" fontId="30" fillId="6" borderId="0" xfId="17" applyFont="1" applyFill="1" applyBorder="1" applyAlignment="1">
      <alignment horizontal="center" wrapText="1"/>
    </xf>
    <xf numFmtId="17" fontId="30" fillId="6" borderId="0" xfId="17" applyNumberFormat="1" applyFont="1" applyFill="1" applyBorder="1" applyAlignment="1">
      <alignment horizontal="center" wrapText="1"/>
    </xf>
    <xf numFmtId="9" fontId="30" fillId="0" borderId="5" xfId="16" applyFont="1" applyFill="1" applyBorder="1" applyAlignment="1">
      <alignment horizontal="center" wrapText="1"/>
    </xf>
    <xf numFmtId="0" fontId="30" fillId="0" borderId="0" xfId="15" applyFont="1" applyAlignment="1">
      <alignment vertical="center"/>
    </xf>
    <xf numFmtId="0" fontId="32" fillId="0" borderId="0" xfId="15" applyFont="1" applyAlignment="1">
      <alignment vertical="center"/>
    </xf>
    <xf numFmtId="9" fontId="32" fillId="0" borderId="0" xfId="16" applyFont="1" applyFill="1" applyBorder="1"/>
    <xf numFmtId="171" fontId="32" fillId="0" borderId="0" xfId="15" applyNumberFormat="1" applyFont="1"/>
    <xf numFmtId="168" fontId="30" fillId="0" borderId="1" xfId="15" applyNumberFormat="1" applyFont="1" applyBorder="1"/>
    <xf numFmtId="171" fontId="30" fillId="0" borderId="1" xfId="17" applyNumberFormat="1" applyFont="1" applyBorder="1"/>
    <xf numFmtId="9" fontId="32" fillId="11" borderId="1" xfId="16" applyFont="1" applyFill="1" applyBorder="1"/>
    <xf numFmtId="166" fontId="32" fillId="11" borderId="1" xfId="15" applyNumberFormat="1" applyFont="1" applyFill="1" applyBorder="1"/>
    <xf numFmtId="0" fontId="30" fillId="13" borderId="1" xfId="15" applyFont="1" applyFill="1" applyBorder="1"/>
    <xf numFmtId="9" fontId="30" fillId="13" borderId="1" xfId="16" applyFont="1" applyFill="1" applyBorder="1"/>
    <xf numFmtId="166" fontId="30" fillId="13" borderId="1" xfId="17" applyFont="1" applyFill="1" applyBorder="1"/>
    <xf numFmtId="166" fontId="30" fillId="13" borderId="1" xfId="15" applyNumberFormat="1" applyFont="1" applyFill="1" applyBorder="1"/>
    <xf numFmtId="2" fontId="30" fillId="0" borderId="1" xfId="15" applyNumberFormat="1" applyFont="1" applyBorder="1"/>
    <xf numFmtId="9" fontId="30" fillId="0" borderId="1" xfId="15" applyNumberFormat="1" applyFont="1" applyBorder="1" applyAlignment="1">
      <alignment horizontal="center"/>
    </xf>
    <xf numFmtId="177" fontId="30" fillId="0" borderId="1" xfId="17" applyNumberFormat="1" applyFont="1" applyBorder="1"/>
    <xf numFmtId="177" fontId="30" fillId="0" borderId="1" xfId="15" applyNumberFormat="1" applyFont="1" applyBorder="1"/>
    <xf numFmtId="3" fontId="30" fillId="0" borderId="1" xfId="15" applyNumberFormat="1" applyFont="1" applyBorder="1" applyAlignment="1">
      <alignment horizontal="center"/>
    </xf>
    <xf numFmtId="0" fontId="30" fillId="0" borderId="0" xfId="15" applyFont="1" applyAlignment="1">
      <alignment wrapText="1"/>
    </xf>
    <xf numFmtId="0" fontId="30" fillId="10" borderId="1" xfId="15" applyFont="1" applyFill="1" applyBorder="1" applyAlignment="1">
      <alignment horizontal="center" wrapText="1"/>
    </xf>
    <xf numFmtId="0" fontId="30" fillId="10" borderId="1" xfId="15" applyFont="1" applyFill="1" applyBorder="1" applyAlignment="1">
      <alignment wrapText="1"/>
    </xf>
    <xf numFmtId="0" fontId="30" fillId="10" borderId="31" xfId="15" applyFont="1" applyFill="1" applyBorder="1"/>
    <xf numFmtId="0" fontId="30" fillId="10" borderId="25" xfId="15" applyFont="1" applyFill="1" applyBorder="1"/>
    <xf numFmtId="0" fontId="30" fillId="10" borderId="14" xfId="15" applyFont="1" applyFill="1" applyBorder="1"/>
    <xf numFmtId="9" fontId="26" fillId="0" borderId="0" xfId="12" applyFont="1"/>
    <xf numFmtId="9" fontId="7" fillId="0" borderId="0" xfId="5" applyNumberFormat="1" applyFont="1"/>
    <xf numFmtId="9" fontId="29" fillId="0" borderId="0" xfId="12" applyFont="1"/>
    <xf numFmtId="0" fontId="29" fillId="0" borderId="0" xfId="0" applyFont="1"/>
    <xf numFmtId="0" fontId="46" fillId="0" borderId="50" xfId="18"/>
    <xf numFmtId="0" fontId="47" fillId="0" borderId="51" xfId="19"/>
    <xf numFmtId="0" fontId="9" fillId="0" borderId="0" xfId="0" applyFont="1" applyAlignment="1">
      <alignment horizontal="center" wrapText="1"/>
    </xf>
    <xf numFmtId="0" fontId="0" fillId="0" borderId="0" xfId="0" applyAlignment="1">
      <alignment horizontal="center" wrapText="1"/>
    </xf>
    <xf numFmtId="0" fontId="0" fillId="0" borderId="0" xfId="0" applyAlignment="1">
      <alignment horizontal="left" wrapText="1"/>
    </xf>
    <xf numFmtId="9" fontId="10" fillId="0" borderId="0" xfId="0" applyNumberFormat="1" applyFont="1" applyAlignment="1">
      <alignment horizontal="left"/>
    </xf>
    <xf numFmtId="0" fontId="0" fillId="0" borderId="0" xfId="0" applyAlignment="1">
      <alignment horizontal="left"/>
    </xf>
    <xf numFmtId="9" fontId="51" fillId="2" borderId="52" xfId="21" applyNumberFormat="1" applyFont="1" applyFill="1" applyAlignment="1">
      <alignment horizontal="left"/>
    </xf>
    <xf numFmtId="0" fontId="10" fillId="0" borderId="0" xfId="0" applyFont="1" applyAlignment="1">
      <alignment horizontal="left" indent="1"/>
    </xf>
    <xf numFmtId="9" fontId="10" fillId="0" borderId="0" xfId="0" applyNumberFormat="1" applyFont="1" applyAlignment="1">
      <alignment horizontal="left" indent="1"/>
    </xf>
    <xf numFmtId="9" fontId="0" fillId="0" borderId="0" xfId="12" applyFont="1" applyAlignment="1">
      <alignment horizontal="left" indent="1"/>
    </xf>
    <xf numFmtId="9" fontId="51" fillId="2" borderId="52" xfId="21" applyNumberFormat="1" applyFont="1" applyFill="1" applyAlignment="1">
      <alignment horizontal="left" indent="1"/>
    </xf>
    <xf numFmtId="0" fontId="9" fillId="0" borderId="0" xfId="0" applyFont="1" applyAlignment="1">
      <alignment horizontal="left" indent="2"/>
    </xf>
    <xf numFmtId="9" fontId="0" fillId="0" borderId="0" xfId="12" applyFont="1" applyAlignment="1">
      <alignment horizontal="left" indent="2"/>
    </xf>
    <xf numFmtId="9" fontId="0" fillId="0" borderId="0" xfId="0" applyNumberFormat="1" applyAlignment="1">
      <alignment horizontal="left" indent="2"/>
    </xf>
    <xf numFmtId="9" fontId="49" fillId="2" borderId="52" xfId="21" applyNumberFormat="1" applyFill="1" applyAlignment="1">
      <alignment horizontal="left" indent="2"/>
    </xf>
    <xf numFmtId="169" fontId="9" fillId="22" borderId="54" xfId="23" applyNumberFormat="1" applyFont="1"/>
    <xf numFmtId="169" fontId="49" fillId="2" borderId="52" xfId="21" applyNumberFormat="1" applyFill="1" applyAlignment="1">
      <alignment horizontal="left" indent="2"/>
    </xf>
    <xf numFmtId="9" fontId="48" fillId="19" borderId="0" xfId="20" applyNumberFormat="1" applyAlignment="1">
      <alignment horizontal="left" indent="2"/>
    </xf>
    <xf numFmtId="9" fontId="10" fillId="0" borderId="0" xfId="12" applyFont="1" applyAlignment="1">
      <alignment horizontal="left" indent="1"/>
    </xf>
    <xf numFmtId="0" fontId="0" fillId="0" borderId="0" xfId="0" applyAlignment="1">
      <alignment horizontal="left" indent="1"/>
    </xf>
    <xf numFmtId="169" fontId="9" fillId="0" borderId="0" xfId="0" applyNumberFormat="1" applyFont="1"/>
    <xf numFmtId="0" fontId="0" fillId="0" borderId="0" xfId="0" applyAlignment="1">
      <alignment horizontal="left" indent="2"/>
    </xf>
    <xf numFmtId="0" fontId="10" fillId="0" borderId="0" xfId="0" applyFont="1" applyAlignment="1">
      <alignment horizontal="left"/>
    </xf>
    <xf numFmtId="9" fontId="10" fillId="0" borderId="0" xfId="12" applyFont="1" applyAlignment="1">
      <alignment horizontal="left"/>
    </xf>
    <xf numFmtId="169" fontId="0" fillId="22" borderId="54" xfId="23" applyNumberFormat="1" applyFont="1"/>
    <xf numFmtId="0" fontId="10" fillId="0" borderId="0" xfId="0" applyFont="1" applyAlignment="1">
      <alignment horizontal="right"/>
    </xf>
    <xf numFmtId="1" fontId="10" fillId="0" borderId="0" xfId="0" applyNumberFormat="1" applyFont="1"/>
    <xf numFmtId="9" fontId="10" fillId="0" borderId="0" xfId="0" applyNumberFormat="1" applyFont="1"/>
    <xf numFmtId="0" fontId="55" fillId="0" borderId="0" xfId="24" applyFont="1"/>
    <xf numFmtId="0" fontId="54" fillId="0" borderId="0" xfId="24"/>
    <xf numFmtId="0" fontId="56" fillId="0" borderId="0" xfId="24" applyFont="1"/>
    <xf numFmtId="0" fontId="57" fillId="0" borderId="0" xfId="24" applyFont="1"/>
    <xf numFmtId="0" fontId="58" fillId="0" borderId="55" xfId="24" applyFont="1" applyBorder="1" applyAlignment="1">
      <alignment horizontal="left" vertical="top" wrapText="1"/>
    </xf>
    <xf numFmtId="0" fontId="59" fillId="0" borderId="55" xfId="24" applyFont="1" applyBorder="1" applyAlignment="1">
      <alignment horizontal="left" vertical="top" wrapText="1"/>
    </xf>
    <xf numFmtId="0" fontId="60" fillId="0" borderId="0" xfId="24" applyFont="1" applyAlignment="1">
      <alignment horizontal="left" vertical="center" wrapText="1"/>
    </xf>
    <xf numFmtId="3" fontId="59" fillId="0" borderId="56" xfId="24" applyNumberFormat="1" applyFont="1" applyBorder="1" applyAlignment="1">
      <alignment horizontal="left" vertical="top" indent="4" shrinkToFit="1"/>
    </xf>
    <xf numFmtId="0" fontId="60" fillId="0" borderId="0" xfId="24" applyFont="1" applyAlignment="1">
      <alignment horizontal="left" vertical="top" wrapText="1"/>
    </xf>
    <xf numFmtId="3" fontId="59" fillId="0" borderId="56" xfId="24" applyNumberFormat="1" applyFont="1" applyBorder="1" applyAlignment="1">
      <alignment horizontal="left" vertical="center" indent="3" shrinkToFit="1"/>
    </xf>
    <xf numFmtId="0" fontId="61" fillId="0" borderId="55" xfId="24" applyFont="1" applyBorder="1" applyAlignment="1">
      <alignment horizontal="left" vertical="top" wrapText="1"/>
    </xf>
    <xf numFmtId="0" fontId="62" fillId="0" borderId="0" xfId="24" applyFont="1" applyAlignment="1">
      <alignment horizontal="left" vertical="center" wrapText="1"/>
    </xf>
    <xf numFmtId="3" fontId="59" fillId="0" borderId="56" xfId="24" applyNumberFormat="1" applyFont="1" applyBorder="1" applyAlignment="1">
      <alignment horizontal="left" vertical="top" indent="3" shrinkToFit="1"/>
    </xf>
    <xf numFmtId="3" fontId="63" fillId="0" borderId="56" xfId="24" applyNumberFormat="1" applyFont="1" applyBorder="1" applyAlignment="1">
      <alignment horizontal="left" vertical="top" indent="4" shrinkToFit="1"/>
    </xf>
    <xf numFmtId="3" fontId="63" fillId="0" borderId="56" xfId="24" applyNumberFormat="1" applyFont="1" applyBorder="1" applyAlignment="1">
      <alignment horizontal="left" vertical="top" indent="3" shrinkToFit="1"/>
    </xf>
    <xf numFmtId="0" fontId="63" fillId="0" borderId="55" xfId="24" applyFont="1" applyBorder="1" applyAlignment="1">
      <alignment horizontal="left" vertical="top" wrapText="1"/>
    </xf>
    <xf numFmtId="0" fontId="63" fillId="0" borderId="0" xfId="24" applyFont="1" applyAlignment="1">
      <alignment horizontal="left" vertical="top" wrapText="1" indent="1"/>
    </xf>
    <xf numFmtId="1" fontId="63" fillId="0" borderId="56" xfId="24" applyNumberFormat="1" applyFont="1" applyBorder="1" applyAlignment="1">
      <alignment horizontal="center" vertical="top" shrinkToFit="1"/>
    </xf>
    <xf numFmtId="9" fontId="0" fillId="0" borderId="0" xfId="25" applyFont="1"/>
    <xf numFmtId="1" fontId="66" fillId="0" borderId="58" xfId="24" applyNumberFormat="1" applyFont="1" applyBorder="1" applyAlignment="1">
      <alignment horizontal="center" vertical="top" shrinkToFit="1"/>
    </xf>
    <xf numFmtId="1" fontId="66" fillId="0" borderId="59" xfId="24" applyNumberFormat="1" applyFont="1" applyBorder="1" applyAlignment="1">
      <alignment horizontal="center" vertical="top" shrinkToFit="1"/>
    </xf>
    <xf numFmtId="1" fontId="66" fillId="0" borderId="0" xfId="24" applyNumberFormat="1" applyFont="1" applyAlignment="1">
      <alignment horizontal="center" vertical="top" shrinkToFit="1"/>
    </xf>
    <xf numFmtId="0" fontId="55" fillId="0" borderId="12" xfId="24" applyFont="1" applyBorder="1"/>
    <xf numFmtId="0" fontId="54" fillId="0" borderId="12" xfId="24" applyBorder="1"/>
    <xf numFmtId="171" fontId="55" fillId="0" borderId="0" xfId="27" applyNumberFormat="1" applyFont="1"/>
    <xf numFmtId="0" fontId="67" fillId="0" borderId="60" xfId="24" applyFont="1" applyBorder="1" applyAlignment="1">
      <alignment readingOrder="1"/>
    </xf>
    <xf numFmtId="0" fontId="68" fillId="0" borderId="61" xfId="24" applyFont="1" applyBorder="1" applyAlignment="1">
      <alignment readingOrder="1"/>
    </xf>
    <xf numFmtId="0" fontId="68" fillId="0" borderId="62" xfId="24" applyFont="1" applyBorder="1" applyAlignment="1">
      <alignment readingOrder="1"/>
    </xf>
    <xf numFmtId="0" fontId="68" fillId="0" borderId="63" xfId="24" applyFont="1" applyBorder="1" applyAlignment="1">
      <alignment readingOrder="1"/>
    </xf>
    <xf numFmtId="0" fontId="68" fillId="0" borderId="64" xfId="24" applyFont="1" applyBorder="1" applyAlignment="1">
      <alignment readingOrder="1"/>
    </xf>
    <xf numFmtId="0" fontId="68" fillId="0" borderId="65" xfId="24" applyFont="1" applyBorder="1" applyAlignment="1">
      <alignment readingOrder="1"/>
    </xf>
    <xf numFmtId="0" fontId="68" fillId="0" borderId="66" xfId="24" applyFont="1" applyBorder="1" applyAlignment="1">
      <alignment readingOrder="1"/>
    </xf>
    <xf numFmtId="0" fontId="67" fillId="0" borderId="66" xfId="24" applyFont="1" applyBorder="1" applyAlignment="1">
      <alignment readingOrder="1"/>
    </xf>
    <xf numFmtId="0" fontId="68" fillId="0" borderId="67" xfId="24" applyFont="1" applyBorder="1" applyAlignment="1">
      <alignment readingOrder="1"/>
    </xf>
    <xf numFmtId="0" fontId="68" fillId="0" borderId="68" xfId="24" applyFont="1" applyBorder="1" applyAlignment="1">
      <alignment readingOrder="1"/>
    </xf>
    <xf numFmtId="0" fontId="54" fillId="0" borderId="69" xfId="24" applyBorder="1"/>
    <xf numFmtId="0" fontId="54" fillId="0" borderId="70" xfId="24" applyBorder="1"/>
    <xf numFmtId="9" fontId="14" fillId="4" borderId="0" xfId="3" applyNumberFormat="1"/>
    <xf numFmtId="0" fontId="64" fillId="0" borderId="0" xfId="26" applyAlignment="1"/>
    <xf numFmtId="0" fontId="65" fillId="0" borderId="0" xfId="24" applyFont="1" applyAlignment="1">
      <alignment horizontal="left" vertical="top"/>
    </xf>
    <xf numFmtId="0" fontId="65" fillId="0" borderId="57" xfId="24" applyFont="1" applyBorder="1" applyAlignment="1">
      <alignment horizontal="center" vertical="top"/>
    </xf>
    <xf numFmtId="0" fontId="62" fillId="0" borderId="0" xfId="24" applyFont="1" applyAlignment="1">
      <alignment horizontal="left"/>
    </xf>
    <xf numFmtId="171" fontId="0" fillId="0" borderId="0" xfId="27" applyNumberFormat="1" applyFont="1" applyAlignment="1"/>
    <xf numFmtId="0" fontId="65" fillId="0" borderId="57" xfId="24" applyFont="1" applyBorder="1" applyAlignment="1">
      <alignment horizontal="right" vertical="top"/>
    </xf>
    <xf numFmtId="0" fontId="65" fillId="0" borderId="57" xfId="24" applyFont="1" applyBorder="1" applyAlignment="1">
      <alignment horizontal="left" vertical="top"/>
    </xf>
    <xf numFmtId="167" fontId="50" fillId="21" borderId="53" xfId="22" applyNumberFormat="1" applyAlignment="1"/>
    <xf numFmtId="1" fontId="54" fillId="0" borderId="0" xfId="24" applyNumberFormat="1"/>
    <xf numFmtId="9" fontId="0" fillId="0" borderId="0" xfId="25" applyFont="1" applyAlignment="1"/>
    <xf numFmtId="9" fontId="54" fillId="0" borderId="0" xfId="12" applyFont="1" applyAlignment="1"/>
    <xf numFmtId="2" fontId="0" fillId="0" borderId="0" xfId="0" applyNumberFormat="1"/>
    <xf numFmtId="168" fontId="0" fillId="0" borderId="0" xfId="0" applyNumberFormat="1"/>
    <xf numFmtId="0" fontId="3" fillId="0" borderId="0" xfId="5" applyFont="1"/>
    <xf numFmtId="0" fontId="2" fillId="0" borderId="0" xfId="5" applyFont="1"/>
    <xf numFmtId="0" fontId="1" fillId="0" borderId="0" xfId="5" applyFont="1"/>
    <xf numFmtId="0" fontId="58" fillId="0" borderId="56" xfId="24" applyFont="1" applyBorder="1" applyAlignment="1">
      <alignment horizontal="left" vertical="top" wrapText="1" indent="7"/>
    </xf>
    <xf numFmtId="0" fontId="65" fillId="0" borderId="0" xfId="24" applyFont="1" applyAlignment="1">
      <alignment horizontal="left" vertical="top"/>
    </xf>
    <xf numFmtId="0" fontId="30" fillId="10" borderId="14" xfId="15" applyFont="1" applyFill="1" applyBorder="1" applyAlignment="1">
      <alignment horizontal="center"/>
    </xf>
    <xf numFmtId="0" fontId="30" fillId="10" borderId="25" xfId="15" applyFont="1" applyFill="1" applyBorder="1" applyAlignment="1">
      <alignment horizontal="center"/>
    </xf>
    <xf numFmtId="0" fontId="30" fillId="10" borderId="31" xfId="15" applyFont="1" applyFill="1" applyBorder="1" applyAlignment="1">
      <alignment horizontal="center"/>
    </xf>
    <xf numFmtId="0" fontId="34" fillId="8" borderId="17" xfId="15" applyFont="1" applyFill="1" applyBorder="1" applyAlignment="1">
      <alignment horizontal="center" vertical="center" wrapText="1"/>
    </xf>
    <xf numFmtId="0" fontId="34" fillId="8" borderId="16" xfId="15" applyFont="1" applyFill="1" applyBorder="1" applyAlignment="1">
      <alignment horizontal="center" vertical="center" wrapText="1"/>
    </xf>
    <xf numFmtId="0" fontId="34" fillId="8" borderId="5" xfId="15" applyFont="1" applyFill="1" applyBorder="1" applyAlignment="1">
      <alignment horizontal="center" vertical="center" wrapText="1"/>
    </xf>
    <xf numFmtId="0" fontId="34" fillId="8" borderId="36" xfId="15" applyFont="1" applyFill="1" applyBorder="1" applyAlignment="1">
      <alignment horizontal="center" vertical="center" wrapText="1"/>
    </xf>
    <xf numFmtId="0" fontId="34" fillId="8" borderId="39" xfId="15" applyFont="1" applyFill="1" applyBorder="1" applyAlignment="1">
      <alignment horizontal="center" vertical="center" wrapText="1"/>
    </xf>
    <xf numFmtId="0" fontId="34" fillId="8" borderId="38" xfId="15" applyFont="1" applyFill="1" applyBorder="1" applyAlignment="1">
      <alignment horizontal="center" vertical="center" wrapText="1"/>
    </xf>
    <xf numFmtId="0" fontId="34" fillId="8" borderId="37" xfId="15" applyFont="1" applyFill="1" applyBorder="1" applyAlignment="1">
      <alignment horizontal="center" vertical="center" wrapText="1"/>
    </xf>
    <xf numFmtId="0" fontId="34" fillId="17" borderId="17" xfId="15" applyFont="1" applyFill="1" applyBorder="1" applyAlignment="1">
      <alignment horizontal="center" vertical="center" wrapText="1"/>
    </xf>
    <xf numFmtId="0" fontId="34" fillId="17" borderId="16" xfId="15" applyFont="1" applyFill="1" applyBorder="1" applyAlignment="1">
      <alignment horizontal="center" vertical="center" wrapText="1"/>
    </xf>
    <xf numFmtId="0" fontId="34" fillId="17" borderId="5" xfId="15" applyFont="1" applyFill="1" applyBorder="1" applyAlignment="1">
      <alignment horizontal="center" vertical="center" wrapText="1"/>
    </xf>
    <xf numFmtId="0" fontId="30" fillId="0" borderId="46" xfId="15" applyFont="1" applyBorder="1" applyAlignment="1">
      <alignment horizontal="center"/>
    </xf>
    <xf numFmtId="0" fontId="30" fillId="0" borderId="45" xfId="15" applyFont="1" applyBorder="1" applyAlignment="1">
      <alignment horizontal="center"/>
    </xf>
    <xf numFmtId="0" fontId="30" fillId="0" borderId="44" xfId="15" applyFont="1" applyBorder="1" applyAlignment="1">
      <alignment horizontal="center"/>
    </xf>
    <xf numFmtId="0" fontId="30" fillId="0" borderId="43" xfId="15" applyFont="1" applyBorder="1" applyAlignment="1">
      <alignment horizontal="center"/>
    </xf>
    <xf numFmtId="0" fontId="44" fillId="18" borderId="0" xfId="15" applyFont="1" applyFill="1" applyAlignment="1">
      <alignment horizontal="center"/>
    </xf>
    <xf numFmtId="0" fontId="0" fillId="0" borderId="0" xfId="0" applyAlignment="1">
      <alignment horizontal="center" vertical="center" wrapText="1"/>
    </xf>
    <xf numFmtId="0" fontId="9" fillId="0" borderId="0" xfId="0" applyFont="1" applyAlignment="1">
      <alignment horizontal="center"/>
    </xf>
    <xf numFmtId="0" fontId="0" fillId="0" borderId="0" xfId="0" applyAlignment="1">
      <alignment horizontal="center"/>
    </xf>
    <xf numFmtId="0" fontId="8" fillId="0" borderId="0" xfId="5" applyAlignment="1">
      <alignment horizontal="center"/>
    </xf>
    <xf numFmtId="0" fontId="69" fillId="0" borderId="0" xfId="0" applyFont="1"/>
    <xf numFmtId="0" fontId="9" fillId="0" borderId="0" xfId="0" applyFont="1" applyBorder="1"/>
    <xf numFmtId="0" fontId="0" fillId="0" borderId="0" xfId="0" applyBorder="1"/>
    <xf numFmtId="0" fontId="0" fillId="0" borderId="2" xfId="0" applyBorder="1"/>
    <xf numFmtId="0" fontId="9" fillId="0" borderId="9" xfId="0" applyFont="1" applyBorder="1"/>
    <xf numFmtId="0" fontId="0" fillId="0" borderId="9" xfId="0" applyBorder="1"/>
    <xf numFmtId="0" fontId="0" fillId="0" borderId="7" xfId="0" applyBorder="1"/>
    <xf numFmtId="0" fontId="70" fillId="0" borderId="13" xfId="0" applyFont="1" applyBorder="1"/>
    <xf numFmtId="0" fontId="0" fillId="0" borderId="12" xfId="0" applyBorder="1"/>
    <xf numFmtId="0" fontId="0" fillId="0" borderId="11" xfId="0" applyBorder="1"/>
    <xf numFmtId="0" fontId="71" fillId="0" borderId="10" xfId="0" applyFont="1" applyBorder="1"/>
    <xf numFmtId="0" fontId="0" fillId="0" borderId="10" xfId="0" applyBorder="1"/>
    <xf numFmtId="0" fontId="0" fillId="0" borderId="8" xfId="0" applyBorder="1"/>
    <xf numFmtId="167" fontId="0" fillId="0" borderId="0" xfId="0" applyNumberFormat="1"/>
    <xf numFmtId="0" fontId="10" fillId="0" borderId="49" xfId="0" applyFont="1" applyBorder="1"/>
    <xf numFmtId="0" fontId="10" fillId="0" borderId="71" xfId="0" applyFont="1" applyBorder="1"/>
    <xf numFmtId="0" fontId="10" fillId="0" borderId="72" xfId="0" applyFont="1" applyBorder="1"/>
  </cellXfs>
  <cellStyles count="28">
    <cellStyle name="Bad" xfId="3" builtinId="27"/>
    <cellStyle name="Comma 2" xfId="17" xr:uid="{8E13E199-2F85-483B-9007-EE97DB221970}"/>
    <cellStyle name="Comma 2 2 2" xfId="11" xr:uid="{1F51F9CD-43BC-48B1-8E61-5F0A5E77056D}"/>
    <cellStyle name="Comma 2 4" xfId="10" xr:uid="{1AD15404-5123-4779-9919-818F58AED9F9}"/>
    <cellStyle name="Comma 3" xfId="27" xr:uid="{26E34044-4D45-4BFC-8843-0909849B4A73}"/>
    <cellStyle name="Comma 3 2" xfId="8" xr:uid="{D372345E-28DA-4818-94B6-B5C799529259}"/>
    <cellStyle name="Good" xfId="2" builtinId="26"/>
    <cellStyle name="Heading 1" xfId="18" builtinId="16"/>
    <cellStyle name="Heading 2" xfId="19" builtinId="17"/>
    <cellStyle name="Heading 4" xfId="1" builtinId="19"/>
    <cellStyle name="Hyperlink 2" xfId="26" xr:uid="{56B61D9A-3544-48F5-A55E-AA8EBB09481A}"/>
    <cellStyle name="Hyperlink 2 2" xfId="9" xr:uid="{073F5541-2215-4AC3-A79B-D57C39E67237}"/>
    <cellStyle name="Input" xfId="21" builtinId="20"/>
    <cellStyle name="Neutral" xfId="20" builtinId="28"/>
    <cellStyle name="Normal" xfId="0" builtinId="0"/>
    <cellStyle name="Normal 13" xfId="6" xr:uid="{3BA84AED-9BF9-4957-8DF0-590A576BDEF5}"/>
    <cellStyle name="Normal 2" xfId="13" xr:uid="{25B45E98-B917-408D-B1E1-16BC4A3C3936}"/>
    <cellStyle name="Normal 3" xfId="15" xr:uid="{7E134293-F416-40D4-92BC-550DDE4506F5}"/>
    <cellStyle name="Normal 4" xfId="24" xr:uid="{9AEEE06E-E874-4F62-8D3D-3C353393E8A2}"/>
    <cellStyle name="Normal 4 3" xfId="4" xr:uid="{EEAB24FD-E19C-48B0-BABC-0E1B5DF896B6}"/>
    <cellStyle name="Normal 6" xfId="5" xr:uid="{6AE162B9-6A12-4D2B-B887-AD3B9FDBEE85}"/>
    <cellStyle name="Note" xfId="23" builtinId="10"/>
    <cellStyle name="Output" xfId="22" builtinId="21"/>
    <cellStyle name="Percent" xfId="12" builtinId="5"/>
    <cellStyle name="Percent 2" xfId="14" xr:uid="{257BFF2F-2E48-4F7E-8232-12DB915F5B19}"/>
    <cellStyle name="Percent 2 3" xfId="7" xr:uid="{F6FBDC63-DA5A-4DF2-841D-EC6214620F9F}"/>
    <cellStyle name="Percent 3" xfId="16" xr:uid="{24CE4F15-38A1-4FAA-BCFD-47C0FFDC9AA6}"/>
    <cellStyle name="Percent 4" xfId="25" xr:uid="{1FF78551-30E2-4360-B280-F5B68D858755}"/>
  </cellStyles>
  <dxfs count="30">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externalLink" Target="externalLinks/externalLink13.xml"/><Relationship Id="rId21" Type="http://schemas.openxmlformats.org/officeDocument/2006/relationships/externalLink" Target="externalLinks/externalLink8.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externalLink" Target="externalLinks/externalLink12.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29" Type="http://schemas.openxmlformats.org/officeDocument/2006/relationships/externalLink" Target="externalLinks/externalLink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1.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externalLink" Target="externalLinks/externalLink15.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6.xml"/><Relationship Id="rId31" Type="http://schemas.openxmlformats.org/officeDocument/2006/relationships/externalLink" Target="externalLinks/externalLink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externalLink" Target="externalLinks/externalLink14.xml"/><Relationship Id="rId30" Type="http://schemas.openxmlformats.org/officeDocument/2006/relationships/externalLink" Target="externalLinks/externalLink17.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448180585878442"/>
          <c:y val="7.3030678741615437E-2"/>
          <c:w val="0.84693516424492021"/>
          <c:h val="0.80858543880686073"/>
        </c:manualLayout>
      </c:layout>
      <c:barChart>
        <c:barDir val="bar"/>
        <c:grouping val="stacked"/>
        <c:varyColors val="0"/>
        <c:ser>
          <c:idx val="0"/>
          <c:order val="0"/>
          <c:tx>
            <c:strRef>
              <c:f>'IEA ETP23 materials'!$S$10</c:f>
              <c:strCache>
                <c:ptCount val="1"/>
                <c:pt idx="0">
                  <c:v>Copper</c:v>
                </c:pt>
              </c:strCache>
            </c:strRef>
          </c:tx>
          <c:spPr>
            <a:solidFill>
              <a:schemeClr val="accent6">
                <a:lumMod val="75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materials'!$S$11:$S$16</c:f>
              <c:numCache>
                <c:formatCode>General</c:formatCode>
                <c:ptCount val="6"/>
                <c:pt idx="0">
                  <c:v>1150</c:v>
                </c:pt>
                <c:pt idx="1">
                  <c:v>1180</c:v>
                </c:pt>
                <c:pt idx="2">
                  <c:v>1500</c:v>
                </c:pt>
                <c:pt idx="3">
                  <c:v>2850</c:v>
                </c:pt>
                <c:pt idx="4">
                  <c:v>2900</c:v>
                </c:pt>
                <c:pt idx="5">
                  <c:v>8000</c:v>
                </c:pt>
              </c:numCache>
            </c:numRef>
          </c:val>
          <c:extLst>
            <c:ext xmlns:c16="http://schemas.microsoft.com/office/drawing/2014/chart" uri="{C3380CC4-5D6E-409C-BE32-E72D297353CC}">
              <c16:uniqueId val="{00000000-DC58-4AC0-9BCE-E74E2F46A5E1}"/>
            </c:ext>
          </c:extLst>
        </c:ser>
        <c:ser>
          <c:idx val="1"/>
          <c:order val="1"/>
          <c:tx>
            <c:strRef>
              <c:f>'IEA ETP23 materials'!$T$10</c:f>
              <c:strCache>
                <c:ptCount val="1"/>
                <c:pt idx="0">
                  <c:v>lithium</c:v>
                </c:pt>
              </c:strCache>
            </c:strRef>
          </c:tx>
          <c:spPr>
            <a:solidFill>
              <a:schemeClr val="accent2"/>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materials'!$T$11:$T$16</c:f>
              <c:numCache>
                <c:formatCode>General</c:formatCode>
                <c:ptCount val="6"/>
              </c:numCache>
            </c:numRef>
          </c:val>
          <c:extLst>
            <c:ext xmlns:c16="http://schemas.microsoft.com/office/drawing/2014/chart" uri="{C3380CC4-5D6E-409C-BE32-E72D297353CC}">
              <c16:uniqueId val="{00000001-DC58-4AC0-9BCE-E74E2F46A5E1}"/>
            </c:ext>
          </c:extLst>
        </c:ser>
        <c:ser>
          <c:idx val="2"/>
          <c:order val="2"/>
          <c:tx>
            <c:strRef>
              <c:f>'IEA ETP23 materials'!$U$10</c:f>
              <c:strCache>
                <c:ptCount val="1"/>
                <c:pt idx="0">
                  <c:v>Nickel</c:v>
                </c:pt>
              </c:strCache>
            </c:strRef>
          </c:tx>
          <c:spPr>
            <a:solidFill>
              <a:schemeClr val="accent4"/>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materials'!$U$11:$U$16</c:f>
              <c:numCache>
                <c:formatCode>General</c:formatCode>
                <c:ptCount val="6"/>
                <c:pt idx="1">
                  <c:v>610</c:v>
                </c:pt>
                <c:pt idx="2">
                  <c:v>1270</c:v>
                </c:pt>
                <c:pt idx="4">
                  <c:v>400</c:v>
                </c:pt>
                <c:pt idx="5">
                  <c:v>210</c:v>
                </c:pt>
              </c:numCache>
            </c:numRef>
          </c:val>
          <c:extLst>
            <c:ext xmlns:c16="http://schemas.microsoft.com/office/drawing/2014/chart" uri="{C3380CC4-5D6E-409C-BE32-E72D297353CC}">
              <c16:uniqueId val="{00000002-DC58-4AC0-9BCE-E74E2F46A5E1}"/>
            </c:ext>
          </c:extLst>
        </c:ser>
        <c:ser>
          <c:idx val="3"/>
          <c:order val="3"/>
          <c:tx>
            <c:strRef>
              <c:f>'IEA ETP23 materials'!$V$10</c:f>
              <c:strCache>
                <c:ptCount val="1"/>
                <c:pt idx="0">
                  <c:v>Manganese</c:v>
                </c:pt>
              </c:strCache>
            </c:strRef>
          </c:tx>
          <c:spPr>
            <a:solidFill>
              <a:schemeClr val="accent4">
                <a:lumMod val="50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materials'!$V$11:$V$16</c:f>
              <c:numCache>
                <c:formatCode>General</c:formatCode>
                <c:ptCount val="6"/>
                <c:pt idx="1">
                  <c:v>60</c:v>
                </c:pt>
                <c:pt idx="2">
                  <c:v>150</c:v>
                </c:pt>
                <c:pt idx="4">
                  <c:v>780</c:v>
                </c:pt>
                <c:pt idx="5">
                  <c:v>780</c:v>
                </c:pt>
              </c:numCache>
            </c:numRef>
          </c:val>
          <c:extLst>
            <c:ext xmlns:c16="http://schemas.microsoft.com/office/drawing/2014/chart" uri="{C3380CC4-5D6E-409C-BE32-E72D297353CC}">
              <c16:uniqueId val="{00000003-DC58-4AC0-9BCE-E74E2F46A5E1}"/>
            </c:ext>
          </c:extLst>
        </c:ser>
        <c:ser>
          <c:idx val="4"/>
          <c:order val="4"/>
          <c:tx>
            <c:strRef>
              <c:f>'IEA ETP23 materials'!$W$10</c:f>
              <c:strCache>
                <c:ptCount val="1"/>
                <c:pt idx="0">
                  <c:v>Cobalt</c:v>
                </c:pt>
              </c:strCache>
            </c:strRef>
          </c:tx>
          <c:spPr>
            <a:solidFill>
              <a:schemeClr val="accent5"/>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materials'!$W$11:$W$16</c:f>
              <c:numCache>
                <c:formatCode>General</c:formatCode>
                <c:ptCount val="6"/>
                <c:pt idx="1">
                  <c:v>120</c:v>
                </c:pt>
              </c:numCache>
            </c:numRef>
          </c:val>
          <c:extLst>
            <c:ext xmlns:c16="http://schemas.microsoft.com/office/drawing/2014/chart" uri="{C3380CC4-5D6E-409C-BE32-E72D297353CC}">
              <c16:uniqueId val="{00000004-DC58-4AC0-9BCE-E74E2F46A5E1}"/>
            </c:ext>
          </c:extLst>
        </c:ser>
        <c:ser>
          <c:idx val="5"/>
          <c:order val="5"/>
          <c:tx>
            <c:strRef>
              <c:f>'IEA ETP23 materials'!$X$10</c:f>
              <c:strCache>
                <c:ptCount val="1"/>
                <c:pt idx="0">
                  <c:v>Graphite</c:v>
                </c:pt>
              </c:strCache>
            </c:strRef>
          </c:tx>
          <c:spPr>
            <a:solidFill>
              <a:schemeClr val="accent6"/>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materials'!$X$11:$X$16</c:f>
              <c:numCache>
                <c:formatCode>General</c:formatCode>
                <c:ptCount val="6"/>
              </c:numCache>
            </c:numRef>
          </c:val>
          <c:extLst>
            <c:ext xmlns:c16="http://schemas.microsoft.com/office/drawing/2014/chart" uri="{C3380CC4-5D6E-409C-BE32-E72D297353CC}">
              <c16:uniqueId val="{00000005-DC58-4AC0-9BCE-E74E2F46A5E1}"/>
            </c:ext>
          </c:extLst>
        </c:ser>
        <c:ser>
          <c:idx val="6"/>
          <c:order val="6"/>
          <c:tx>
            <c:strRef>
              <c:f>'IEA ETP23 materials'!$Y$10</c:f>
              <c:strCache>
                <c:ptCount val="1"/>
                <c:pt idx="0">
                  <c:v>Silicon</c:v>
                </c:pt>
              </c:strCache>
            </c:strRef>
          </c:tx>
          <c:spPr>
            <a:solidFill>
              <a:schemeClr val="bg1">
                <a:lumMod val="85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materials'!$Y$11:$Y$16</c:f>
              <c:numCache>
                <c:formatCode>General</c:formatCode>
                <c:ptCount val="6"/>
                <c:pt idx="3">
                  <c:v>3800</c:v>
                </c:pt>
              </c:numCache>
            </c:numRef>
          </c:val>
          <c:extLst>
            <c:ext xmlns:c16="http://schemas.microsoft.com/office/drawing/2014/chart" uri="{C3380CC4-5D6E-409C-BE32-E72D297353CC}">
              <c16:uniqueId val="{00000006-DC58-4AC0-9BCE-E74E2F46A5E1}"/>
            </c:ext>
          </c:extLst>
        </c:ser>
        <c:ser>
          <c:idx val="7"/>
          <c:order val="7"/>
          <c:tx>
            <c:strRef>
              <c:f>'IEA ETP23 materials'!$Z$10</c:f>
              <c:strCache>
                <c:ptCount val="1"/>
                <c:pt idx="0">
                  <c:v>Rare earths</c:v>
                </c:pt>
              </c:strCache>
            </c:strRef>
          </c:tx>
          <c:spPr>
            <a:solidFill>
              <a:schemeClr val="accent2">
                <a:lumMod val="60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materials'!$Z$11:$Z$16</c:f>
              <c:numCache>
                <c:formatCode>General</c:formatCode>
                <c:ptCount val="6"/>
              </c:numCache>
            </c:numRef>
          </c:val>
          <c:extLst>
            <c:ext xmlns:c16="http://schemas.microsoft.com/office/drawing/2014/chart" uri="{C3380CC4-5D6E-409C-BE32-E72D297353CC}">
              <c16:uniqueId val="{00000007-DC58-4AC0-9BCE-E74E2F46A5E1}"/>
            </c:ext>
          </c:extLst>
        </c:ser>
        <c:ser>
          <c:idx val="8"/>
          <c:order val="8"/>
          <c:tx>
            <c:strRef>
              <c:f>'IEA ETP23 materials'!$AA$10</c:f>
              <c:strCache>
                <c:ptCount val="1"/>
                <c:pt idx="0">
                  <c:v>Platinum</c:v>
                </c:pt>
              </c:strCache>
            </c:strRef>
          </c:tx>
          <c:spPr>
            <a:solidFill>
              <a:schemeClr val="accent3">
                <a:lumMod val="60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materials'!$AA$11:$AA$16</c:f>
              <c:numCache>
                <c:formatCode>General</c:formatCode>
                <c:ptCount val="6"/>
              </c:numCache>
            </c:numRef>
          </c:val>
          <c:extLst>
            <c:ext xmlns:c16="http://schemas.microsoft.com/office/drawing/2014/chart" uri="{C3380CC4-5D6E-409C-BE32-E72D297353CC}">
              <c16:uniqueId val="{00000008-DC58-4AC0-9BCE-E74E2F46A5E1}"/>
            </c:ext>
          </c:extLst>
        </c:ser>
        <c:ser>
          <c:idx val="9"/>
          <c:order val="9"/>
          <c:tx>
            <c:strRef>
              <c:f>'IEA ETP23 materials'!$AB$10</c:f>
              <c:strCache>
                <c:ptCount val="1"/>
                <c:pt idx="0">
                  <c:v>other</c:v>
                </c:pt>
              </c:strCache>
            </c:strRef>
          </c:tx>
          <c:spPr>
            <a:solidFill>
              <a:srgbClr val="FFC000"/>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materials'!$AB$11:$AB$16</c:f>
              <c:numCache>
                <c:formatCode>General</c:formatCode>
                <c:ptCount val="6"/>
                <c:pt idx="0">
                  <c:v>50</c:v>
                </c:pt>
                <c:pt idx="1">
                  <c:v>450</c:v>
                </c:pt>
                <c:pt idx="2">
                  <c:v>2250</c:v>
                </c:pt>
                <c:pt idx="4">
                  <c:v>6050</c:v>
                </c:pt>
                <c:pt idx="5">
                  <c:v>6125</c:v>
                </c:pt>
              </c:numCache>
            </c:numRef>
          </c:val>
          <c:extLst>
            <c:ext xmlns:c16="http://schemas.microsoft.com/office/drawing/2014/chart" uri="{C3380CC4-5D6E-409C-BE32-E72D297353CC}">
              <c16:uniqueId val="{00000009-DC58-4AC0-9BCE-E74E2F46A5E1}"/>
            </c:ext>
          </c:extLst>
        </c:ser>
        <c:dLbls>
          <c:showLegendKey val="0"/>
          <c:showVal val="0"/>
          <c:showCatName val="0"/>
          <c:showSerName val="0"/>
          <c:showPercent val="0"/>
          <c:showBubbleSize val="0"/>
        </c:dLbls>
        <c:gapWidth val="368"/>
        <c:overlap val="100"/>
        <c:axId val="1393987696"/>
        <c:axId val="1266004368"/>
      </c:barChart>
      <c:catAx>
        <c:axId val="1393987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004368"/>
        <c:crosses val="autoZero"/>
        <c:auto val="1"/>
        <c:lblAlgn val="ctr"/>
        <c:lblOffset val="100"/>
        <c:noMultiLvlLbl val="0"/>
      </c:catAx>
      <c:valAx>
        <c:axId val="1266004368"/>
        <c:scaling>
          <c:orientation val="minMax"/>
          <c:max val="18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987696"/>
        <c:crosses val="autoZero"/>
        <c:crossBetween val="between"/>
        <c:majorUnit val="3000"/>
        <c:minorUnit val="5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materials'!$S$47</c:f>
              <c:strCache>
                <c:ptCount val="1"/>
                <c:pt idx="0">
                  <c:v>Steel</c:v>
                </c:pt>
              </c:strCache>
            </c:strRef>
          </c:tx>
          <c:spPr>
            <a:solidFill>
              <a:schemeClr val="accent1"/>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materials'!$S$48:$S$53</c:f>
              <c:numCache>
                <c:formatCode>General</c:formatCode>
                <c:ptCount val="6"/>
                <c:pt idx="0">
                  <c:v>26500</c:v>
                </c:pt>
                <c:pt idx="1">
                  <c:v>68000</c:v>
                </c:pt>
                <c:pt idx="2">
                  <c:v>61000</c:v>
                </c:pt>
                <c:pt idx="3">
                  <c:v>62000</c:v>
                </c:pt>
                <c:pt idx="4">
                  <c:v>131000</c:v>
                </c:pt>
                <c:pt idx="5">
                  <c:v>0</c:v>
                </c:pt>
              </c:numCache>
            </c:numRef>
          </c:val>
          <c:extLst>
            <c:ext xmlns:c16="http://schemas.microsoft.com/office/drawing/2014/chart" uri="{C3380CC4-5D6E-409C-BE32-E72D297353CC}">
              <c16:uniqueId val="{00000000-9A5A-4CBB-A1EB-E9D08768A144}"/>
            </c:ext>
          </c:extLst>
        </c:ser>
        <c:ser>
          <c:idx val="1"/>
          <c:order val="1"/>
          <c:tx>
            <c:strRef>
              <c:f>'IEA ETP23 materials'!$T$47</c:f>
              <c:strCache>
                <c:ptCount val="1"/>
                <c:pt idx="0">
                  <c:v>Aluminium</c:v>
                </c:pt>
              </c:strCache>
            </c:strRef>
          </c:tx>
          <c:spPr>
            <a:solidFill>
              <a:schemeClr val="accent2"/>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materials'!$T$48:$T$53</c:f>
              <c:numCache>
                <c:formatCode>General</c:formatCode>
                <c:ptCount val="6"/>
                <c:pt idx="0">
                  <c:v>1000</c:v>
                </c:pt>
                <c:pt idx="1">
                  <c:v>800</c:v>
                </c:pt>
                <c:pt idx="2">
                  <c:v>0</c:v>
                </c:pt>
                <c:pt idx="3">
                  <c:v>19000</c:v>
                </c:pt>
                <c:pt idx="4">
                  <c:v>0</c:v>
                </c:pt>
                <c:pt idx="5">
                  <c:v>0</c:v>
                </c:pt>
              </c:numCache>
            </c:numRef>
          </c:val>
          <c:extLst>
            <c:ext xmlns:c16="http://schemas.microsoft.com/office/drawing/2014/chart" uri="{C3380CC4-5D6E-409C-BE32-E72D297353CC}">
              <c16:uniqueId val="{00000001-9A5A-4CBB-A1EB-E9D08768A144}"/>
            </c:ext>
          </c:extLst>
        </c:ser>
        <c:ser>
          <c:idx val="2"/>
          <c:order val="2"/>
          <c:tx>
            <c:strRef>
              <c:f>'IEA ETP23 materials'!$U$47</c:f>
              <c:strCache>
                <c:ptCount val="1"/>
                <c:pt idx="0">
                  <c:v>Cement</c:v>
                </c:pt>
              </c:strCache>
            </c:strRef>
          </c:tx>
          <c:spPr>
            <a:solidFill>
              <a:schemeClr val="accent3"/>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materials'!$U$48:$U$53</c:f>
              <c:numCache>
                <c:formatCode>General</c:formatCode>
                <c:ptCount val="6"/>
                <c:pt idx="0">
                  <c:v>6400</c:v>
                </c:pt>
                <c:pt idx="1">
                  <c:v>35500</c:v>
                </c:pt>
                <c:pt idx="2">
                  <c:v>74500</c:v>
                </c:pt>
                <c:pt idx="3">
                  <c:v>7500</c:v>
                </c:pt>
                <c:pt idx="4">
                  <c:v>49500</c:v>
                </c:pt>
                <c:pt idx="5">
                  <c:v>0</c:v>
                </c:pt>
              </c:numCache>
            </c:numRef>
          </c:val>
          <c:extLst>
            <c:ext xmlns:c16="http://schemas.microsoft.com/office/drawing/2014/chart" uri="{C3380CC4-5D6E-409C-BE32-E72D297353CC}">
              <c16:uniqueId val="{00000002-9A5A-4CBB-A1EB-E9D08768A144}"/>
            </c:ext>
          </c:extLst>
        </c:ser>
        <c:ser>
          <c:idx val="3"/>
          <c:order val="3"/>
          <c:tx>
            <c:strRef>
              <c:f>'IEA ETP23 materials'!$V$47</c:f>
              <c:strCache>
                <c:ptCount val="1"/>
                <c:pt idx="0">
                  <c:v>Plastic</c:v>
                </c:pt>
              </c:strCache>
            </c:strRef>
          </c:tx>
          <c:spPr>
            <a:solidFill>
              <a:schemeClr val="accent4"/>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materials'!$V$48:$V$53</c:f>
              <c:numCache>
                <c:formatCode>General</c:formatCode>
                <c:ptCount val="6"/>
                <c:pt idx="0">
                  <c:v>3400</c:v>
                </c:pt>
                <c:pt idx="1">
                  <c:v>0</c:v>
                </c:pt>
                <c:pt idx="2">
                  <c:v>0</c:v>
                </c:pt>
                <c:pt idx="3">
                  <c:v>7200</c:v>
                </c:pt>
                <c:pt idx="4">
                  <c:v>0</c:v>
                </c:pt>
                <c:pt idx="5">
                  <c:v>0</c:v>
                </c:pt>
              </c:numCache>
            </c:numRef>
          </c:val>
          <c:extLst>
            <c:ext xmlns:c16="http://schemas.microsoft.com/office/drawing/2014/chart" uri="{C3380CC4-5D6E-409C-BE32-E72D297353CC}">
              <c16:uniqueId val="{00000003-9A5A-4CBB-A1EB-E9D08768A144}"/>
            </c:ext>
          </c:extLst>
        </c:ser>
        <c:ser>
          <c:idx val="4"/>
          <c:order val="4"/>
          <c:tx>
            <c:strRef>
              <c:f>'IEA ETP23 materials'!$W$47</c:f>
              <c:strCache>
                <c:ptCount val="1"/>
                <c:pt idx="0">
                  <c:v>Glass</c:v>
                </c:pt>
              </c:strCache>
            </c:strRef>
          </c:tx>
          <c:spPr>
            <a:solidFill>
              <a:schemeClr val="accent5"/>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materials'!$W$48:$W$53</c:f>
              <c:numCache>
                <c:formatCode>General</c:formatCode>
                <c:ptCount val="6"/>
                <c:pt idx="0">
                  <c:v>0</c:v>
                </c:pt>
                <c:pt idx="1">
                  <c:v>0</c:v>
                </c:pt>
                <c:pt idx="2">
                  <c:v>0</c:v>
                </c:pt>
                <c:pt idx="3">
                  <c:v>46000</c:v>
                </c:pt>
                <c:pt idx="4">
                  <c:v>8000</c:v>
                </c:pt>
                <c:pt idx="5">
                  <c:v>0</c:v>
                </c:pt>
              </c:numCache>
            </c:numRef>
          </c:val>
          <c:extLst>
            <c:ext xmlns:c16="http://schemas.microsoft.com/office/drawing/2014/chart" uri="{C3380CC4-5D6E-409C-BE32-E72D297353CC}">
              <c16:uniqueId val="{00000004-9A5A-4CBB-A1EB-E9D08768A144}"/>
            </c:ext>
          </c:extLst>
        </c:ser>
        <c:dLbls>
          <c:showLegendKey val="0"/>
          <c:showVal val="0"/>
          <c:showCatName val="0"/>
          <c:showSerName val="0"/>
          <c:showPercent val="0"/>
          <c:showBubbleSize val="0"/>
        </c:dLbls>
        <c:gapWidth val="150"/>
        <c:overlap val="100"/>
        <c:axId val="1609953328"/>
        <c:axId val="1738352752"/>
      </c:barChart>
      <c:catAx>
        <c:axId val="1609953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352752"/>
        <c:crosses val="autoZero"/>
        <c:auto val="1"/>
        <c:lblAlgn val="ctr"/>
        <c:lblOffset val="100"/>
        <c:noMultiLvlLbl val="0"/>
      </c:catAx>
      <c:valAx>
        <c:axId val="1738352752"/>
        <c:scaling>
          <c:orientation val="minMax"/>
          <c:max val="2000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953328"/>
        <c:crosses val="autoZero"/>
        <c:crossBetween val="between"/>
        <c:majorUnit val="5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materials'!$S$81</c:f>
              <c:strCache>
                <c:ptCount val="1"/>
                <c:pt idx="0">
                  <c:v>Copper</c:v>
                </c:pt>
              </c:strCache>
            </c:strRef>
          </c:tx>
          <c:spPr>
            <a:solidFill>
              <a:schemeClr val="accent1"/>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materials'!$S$82:$S$85</c:f>
              <c:numCache>
                <c:formatCode>General</c:formatCode>
                <c:ptCount val="4"/>
                <c:pt idx="2">
                  <c:v>30</c:v>
                </c:pt>
                <c:pt idx="3">
                  <c:v>440</c:v>
                </c:pt>
              </c:numCache>
            </c:numRef>
          </c:val>
          <c:extLst>
            <c:ext xmlns:c16="http://schemas.microsoft.com/office/drawing/2014/chart" uri="{C3380CC4-5D6E-409C-BE32-E72D297353CC}">
              <c16:uniqueId val="{00000000-CD7B-4F61-924E-7E378C2BE709}"/>
            </c:ext>
          </c:extLst>
        </c:ser>
        <c:ser>
          <c:idx val="1"/>
          <c:order val="1"/>
          <c:tx>
            <c:strRef>
              <c:f>'IEA ETP23 materials'!$T$81</c:f>
              <c:strCache>
                <c:ptCount val="1"/>
                <c:pt idx="0">
                  <c:v>lithium</c:v>
                </c:pt>
              </c:strCache>
            </c:strRef>
          </c:tx>
          <c:spPr>
            <a:solidFill>
              <a:schemeClr val="accent2"/>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materials'!$T$82:$T$85</c:f>
              <c:numCache>
                <c:formatCode>General</c:formatCode>
                <c:ptCount val="4"/>
              </c:numCache>
            </c:numRef>
          </c:val>
          <c:extLst>
            <c:ext xmlns:c16="http://schemas.microsoft.com/office/drawing/2014/chart" uri="{C3380CC4-5D6E-409C-BE32-E72D297353CC}">
              <c16:uniqueId val="{00000001-CD7B-4F61-924E-7E378C2BE709}"/>
            </c:ext>
          </c:extLst>
        </c:ser>
        <c:ser>
          <c:idx val="2"/>
          <c:order val="2"/>
          <c:tx>
            <c:strRef>
              <c:f>'IEA ETP23 materials'!$U$81</c:f>
              <c:strCache>
                <c:ptCount val="1"/>
                <c:pt idx="0">
                  <c:v>Nickel</c:v>
                </c:pt>
              </c:strCache>
            </c:strRef>
          </c:tx>
          <c:spPr>
            <a:solidFill>
              <a:schemeClr val="accent3"/>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materials'!$U$82:$U$85</c:f>
              <c:numCache>
                <c:formatCode>General</c:formatCode>
                <c:ptCount val="4"/>
              </c:numCache>
            </c:numRef>
          </c:val>
          <c:extLst>
            <c:ext xmlns:c16="http://schemas.microsoft.com/office/drawing/2014/chart" uri="{C3380CC4-5D6E-409C-BE32-E72D297353CC}">
              <c16:uniqueId val="{00000002-CD7B-4F61-924E-7E378C2BE709}"/>
            </c:ext>
          </c:extLst>
        </c:ser>
        <c:ser>
          <c:idx val="3"/>
          <c:order val="3"/>
          <c:tx>
            <c:strRef>
              <c:f>'IEA ETP23 materials'!$V$81</c:f>
              <c:strCache>
                <c:ptCount val="1"/>
                <c:pt idx="0">
                  <c:v>Manganese</c:v>
                </c:pt>
              </c:strCache>
            </c:strRef>
          </c:tx>
          <c:spPr>
            <a:solidFill>
              <a:schemeClr val="accent4"/>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materials'!$V$82:$V$85</c:f>
              <c:numCache>
                <c:formatCode>General</c:formatCode>
                <c:ptCount val="4"/>
              </c:numCache>
            </c:numRef>
          </c:val>
          <c:extLst>
            <c:ext xmlns:c16="http://schemas.microsoft.com/office/drawing/2014/chart" uri="{C3380CC4-5D6E-409C-BE32-E72D297353CC}">
              <c16:uniqueId val="{00000003-CD7B-4F61-924E-7E378C2BE709}"/>
            </c:ext>
          </c:extLst>
        </c:ser>
        <c:ser>
          <c:idx val="4"/>
          <c:order val="4"/>
          <c:tx>
            <c:strRef>
              <c:f>'IEA ETP23 materials'!$W$81</c:f>
              <c:strCache>
                <c:ptCount val="1"/>
                <c:pt idx="0">
                  <c:v>Cobalt</c:v>
                </c:pt>
              </c:strCache>
            </c:strRef>
          </c:tx>
          <c:spPr>
            <a:solidFill>
              <a:schemeClr val="accent5"/>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materials'!$W$82:$W$85</c:f>
              <c:numCache>
                <c:formatCode>General</c:formatCode>
                <c:ptCount val="4"/>
              </c:numCache>
            </c:numRef>
          </c:val>
          <c:extLst>
            <c:ext xmlns:c16="http://schemas.microsoft.com/office/drawing/2014/chart" uri="{C3380CC4-5D6E-409C-BE32-E72D297353CC}">
              <c16:uniqueId val="{00000004-CD7B-4F61-924E-7E378C2BE709}"/>
            </c:ext>
          </c:extLst>
        </c:ser>
        <c:ser>
          <c:idx val="5"/>
          <c:order val="5"/>
          <c:tx>
            <c:strRef>
              <c:f>'IEA ETP23 materials'!$X$81</c:f>
              <c:strCache>
                <c:ptCount val="1"/>
                <c:pt idx="0">
                  <c:v>Graphite</c:v>
                </c:pt>
              </c:strCache>
            </c:strRef>
          </c:tx>
          <c:spPr>
            <a:solidFill>
              <a:schemeClr val="accent6"/>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materials'!$X$82:$X$85</c:f>
              <c:numCache>
                <c:formatCode>General</c:formatCode>
                <c:ptCount val="4"/>
              </c:numCache>
            </c:numRef>
          </c:val>
          <c:extLst>
            <c:ext xmlns:c16="http://schemas.microsoft.com/office/drawing/2014/chart" uri="{C3380CC4-5D6E-409C-BE32-E72D297353CC}">
              <c16:uniqueId val="{00000005-CD7B-4F61-924E-7E378C2BE709}"/>
            </c:ext>
          </c:extLst>
        </c:ser>
        <c:dLbls>
          <c:showLegendKey val="0"/>
          <c:showVal val="0"/>
          <c:showCatName val="0"/>
          <c:showSerName val="0"/>
          <c:showPercent val="0"/>
          <c:showBubbleSize val="0"/>
        </c:dLbls>
        <c:gapWidth val="150"/>
        <c:overlap val="100"/>
        <c:axId val="1613070912"/>
        <c:axId val="1607097696"/>
      </c:barChart>
      <c:catAx>
        <c:axId val="161307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097696"/>
        <c:crosses val="autoZero"/>
        <c:auto val="1"/>
        <c:lblAlgn val="ctr"/>
        <c:lblOffset val="100"/>
        <c:noMultiLvlLbl val="0"/>
      </c:catAx>
      <c:valAx>
        <c:axId val="1607097696"/>
        <c:scaling>
          <c:orientation val="minMax"/>
          <c:max val="5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materials'!$S$97</c:f>
              <c:strCache>
                <c:ptCount val="1"/>
                <c:pt idx="0">
                  <c:v>Steel</c:v>
                </c:pt>
              </c:strCache>
            </c:strRef>
          </c:tx>
          <c:spPr>
            <a:solidFill>
              <a:schemeClr val="accent1"/>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materials'!$S$98:$S$101</c:f>
              <c:numCache>
                <c:formatCode>General</c:formatCode>
                <c:ptCount val="4"/>
                <c:pt idx="0">
                  <c:v>78</c:v>
                </c:pt>
                <c:pt idx="1">
                  <c:v>66</c:v>
                </c:pt>
              </c:numCache>
            </c:numRef>
          </c:val>
          <c:extLst>
            <c:ext xmlns:c16="http://schemas.microsoft.com/office/drawing/2014/chart" uri="{C3380CC4-5D6E-409C-BE32-E72D297353CC}">
              <c16:uniqueId val="{00000000-D449-4666-AD31-7D4D8ECA095A}"/>
            </c:ext>
          </c:extLst>
        </c:ser>
        <c:ser>
          <c:idx val="1"/>
          <c:order val="1"/>
          <c:tx>
            <c:strRef>
              <c:f>'IEA ETP23 materials'!$T$97</c:f>
              <c:strCache>
                <c:ptCount val="1"/>
                <c:pt idx="0">
                  <c:v>Aluminium</c:v>
                </c:pt>
              </c:strCache>
            </c:strRef>
          </c:tx>
          <c:spPr>
            <a:solidFill>
              <a:schemeClr val="accent2"/>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materials'!$T$98:$T$101</c:f>
              <c:numCache>
                <c:formatCode>General</c:formatCode>
                <c:ptCount val="4"/>
                <c:pt idx="1">
                  <c:v>11</c:v>
                </c:pt>
              </c:numCache>
            </c:numRef>
          </c:val>
          <c:extLst>
            <c:ext xmlns:c16="http://schemas.microsoft.com/office/drawing/2014/chart" uri="{C3380CC4-5D6E-409C-BE32-E72D297353CC}">
              <c16:uniqueId val="{00000001-D449-4666-AD31-7D4D8ECA095A}"/>
            </c:ext>
          </c:extLst>
        </c:ser>
        <c:ser>
          <c:idx val="2"/>
          <c:order val="2"/>
          <c:tx>
            <c:strRef>
              <c:f>'IEA ETP23 materials'!$U$97</c:f>
              <c:strCache>
                <c:ptCount val="1"/>
                <c:pt idx="0">
                  <c:v>Cement</c:v>
                </c:pt>
              </c:strCache>
            </c:strRef>
          </c:tx>
          <c:spPr>
            <a:solidFill>
              <a:schemeClr val="accent3"/>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materials'!$U$98:$U$101</c:f>
              <c:numCache>
                <c:formatCode>General</c:formatCode>
                <c:ptCount val="4"/>
              </c:numCache>
            </c:numRef>
          </c:val>
          <c:extLst>
            <c:ext xmlns:c16="http://schemas.microsoft.com/office/drawing/2014/chart" uri="{C3380CC4-5D6E-409C-BE32-E72D297353CC}">
              <c16:uniqueId val="{00000002-D449-4666-AD31-7D4D8ECA095A}"/>
            </c:ext>
          </c:extLst>
        </c:ser>
        <c:ser>
          <c:idx val="3"/>
          <c:order val="3"/>
          <c:tx>
            <c:strRef>
              <c:f>'IEA ETP23 materials'!$V$97</c:f>
              <c:strCache>
                <c:ptCount val="1"/>
                <c:pt idx="0">
                  <c:v>Plastic</c:v>
                </c:pt>
              </c:strCache>
            </c:strRef>
          </c:tx>
          <c:spPr>
            <a:solidFill>
              <a:schemeClr val="accent4"/>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materials'!$V$98:$V$101</c:f>
              <c:numCache>
                <c:formatCode>General</c:formatCode>
                <c:ptCount val="4"/>
              </c:numCache>
            </c:numRef>
          </c:val>
          <c:extLst>
            <c:ext xmlns:c16="http://schemas.microsoft.com/office/drawing/2014/chart" uri="{C3380CC4-5D6E-409C-BE32-E72D297353CC}">
              <c16:uniqueId val="{00000003-D449-4666-AD31-7D4D8ECA095A}"/>
            </c:ext>
          </c:extLst>
        </c:ser>
        <c:ser>
          <c:idx val="4"/>
          <c:order val="4"/>
          <c:tx>
            <c:strRef>
              <c:f>'IEA ETP23 materials'!$W$97</c:f>
              <c:strCache>
                <c:ptCount val="1"/>
                <c:pt idx="0">
                  <c:v>Glass</c:v>
                </c:pt>
              </c:strCache>
            </c:strRef>
          </c:tx>
          <c:spPr>
            <a:solidFill>
              <a:schemeClr val="accent5"/>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materials'!$W$98:$W$101</c:f>
              <c:numCache>
                <c:formatCode>General</c:formatCode>
                <c:ptCount val="4"/>
              </c:numCache>
            </c:numRef>
          </c:val>
          <c:extLst>
            <c:ext xmlns:c16="http://schemas.microsoft.com/office/drawing/2014/chart" uri="{C3380CC4-5D6E-409C-BE32-E72D297353CC}">
              <c16:uniqueId val="{00000004-D449-4666-AD31-7D4D8ECA095A}"/>
            </c:ext>
          </c:extLst>
        </c:ser>
        <c:dLbls>
          <c:showLegendKey val="0"/>
          <c:showVal val="0"/>
          <c:showCatName val="0"/>
          <c:showSerName val="0"/>
          <c:showPercent val="0"/>
          <c:showBubbleSize val="0"/>
        </c:dLbls>
        <c:gapWidth val="150"/>
        <c:overlap val="100"/>
        <c:axId val="1601397808"/>
        <c:axId val="1738356720"/>
      </c:barChart>
      <c:catAx>
        <c:axId val="1601397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356720"/>
        <c:crosses val="autoZero"/>
        <c:auto val="1"/>
        <c:lblAlgn val="ctr"/>
        <c:lblOffset val="100"/>
        <c:noMultiLvlLbl val="0"/>
      </c:catAx>
      <c:valAx>
        <c:axId val="1738356720"/>
        <c:scaling>
          <c:orientation val="minMax"/>
          <c:max val="8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39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LabourInputs!$F$95</c:f>
              <c:strCache>
                <c:ptCount val="1"/>
                <c:pt idx="0">
                  <c:v>Generation</c:v>
                </c:pt>
              </c:strCache>
            </c:strRef>
          </c:tx>
          <c:spPr>
            <a:solidFill>
              <a:schemeClr val="accent1"/>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LabourInputs!$F$96:$F$100</c:f>
              <c:numCache>
                <c:formatCode>General</c:formatCode>
                <c:ptCount val="5"/>
                <c:pt idx="0">
                  <c:v>10.106999999999999</c:v>
                </c:pt>
                <c:pt idx="1">
                  <c:v>12.42</c:v>
                </c:pt>
                <c:pt idx="2">
                  <c:v>1.08</c:v>
                </c:pt>
                <c:pt idx="3" formatCode="0.00">
                  <c:v>13.5</c:v>
                </c:pt>
                <c:pt idx="4" formatCode="0.000">
                  <c:v>15.221333333333334</c:v>
                </c:pt>
              </c:numCache>
            </c:numRef>
          </c:val>
          <c:extLst>
            <c:ext xmlns:c16="http://schemas.microsoft.com/office/drawing/2014/chart" uri="{C3380CC4-5D6E-409C-BE32-E72D297353CC}">
              <c16:uniqueId val="{00000000-1E25-4893-A384-C473C1E4AD61}"/>
            </c:ext>
          </c:extLst>
        </c:ser>
        <c:ser>
          <c:idx val="1"/>
          <c:order val="1"/>
          <c:tx>
            <c:strRef>
              <c:f>LabourInputs!$G$95</c:f>
              <c:strCache>
                <c:ptCount val="1"/>
                <c:pt idx="0">
                  <c:v>Transmission</c:v>
                </c:pt>
              </c:strCache>
            </c:strRef>
          </c:tx>
          <c:spPr>
            <a:solidFill>
              <a:schemeClr val="accent2"/>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LabourInputs!$G$96:$G$100</c:f>
              <c:numCache>
                <c:formatCode>General</c:formatCode>
                <c:ptCount val="5"/>
                <c:pt idx="0">
                  <c:v>2.0049999999999999</c:v>
                </c:pt>
                <c:pt idx="1">
                  <c:v>1.67</c:v>
                </c:pt>
                <c:pt idx="3">
                  <c:v>1.67</c:v>
                </c:pt>
              </c:numCache>
            </c:numRef>
          </c:val>
          <c:extLst>
            <c:ext xmlns:c16="http://schemas.microsoft.com/office/drawing/2014/chart" uri="{C3380CC4-5D6E-409C-BE32-E72D297353CC}">
              <c16:uniqueId val="{00000001-1E25-4893-A384-C473C1E4AD61}"/>
            </c:ext>
          </c:extLst>
        </c:ser>
        <c:ser>
          <c:idx val="2"/>
          <c:order val="2"/>
          <c:tx>
            <c:strRef>
              <c:f>LabourInputs!$H$95</c:f>
              <c:strCache>
                <c:ptCount val="1"/>
                <c:pt idx="0">
                  <c:v>Tx+Other Corporate</c:v>
                </c:pt>
              </c:strCache>
            </c:strRef>
          </c:tx>
          <c:spPr>
            <a:solidFill>
              <a:schemeClr val="accent3"/>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LabourInputs!$H$96:$H$100</c:f>
              <c:numCache>
                <c:formatCode>General</c:formatCode>
                <c:ptCount val="5"/>
                <c:pt idx="4" formatCode="0.000">
                  <c:v>9.7730300000000057</c:v>
                </c:pt>
              </c:numCache>
            </c:numRef>
          </c:val>
          <c:extLst>
            <c:ext xmlns:c16="http://schemas.microsoft.com/office/drawing/2014/chart" uri="{C3380CC4-5D6E-409C-BE32-E72D297353CC}">
              <c16:uniqueId val="{00000002-1E25-4893-A384-C473C1E4AD61}"/>
            </c:ext>
          </c:extLst>
        </c:ser>
        <c:ser>
          <c:idx val="3"/>
          <c:order val="3"/>
          <c:tx>
            <c:strRef>
              <c:f>LabourInputs!$I$95</c:f>
              <c:strCache>
                <c:ptCount val="1"/>
                <c:pt idx="0">
                  <c:v>Other corporate</c:v>
                </c:pt>
              </c:strCache>
            </c:strRef>
          </c:tx>
          <c:spPr>
            <a:solidFill>
              <a:schemeClr val="accent4"/>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LabourInputs!$I$96:$I$100</c:f>
              <c:numCache>
                <c:formatCode>General</c:formatCode>
                <c:ptCount val="5"/>
                <c:pt idx="0">
                  <c:v>2.1349999999999998</c:v>
                </c:pt>
                <c:pt idx="1">
                  <c:v>7.8299999999999983</c:v>
                </c:pt>
                <c:pt idx="2" formatCode="0.0">
                  <c:v>3.7160300000000035</c:v>
                </c:pt>
                <c:pt idx="3">
                  <c:v>11.546030000000002</c:v>
                </c:pt>
              </c:numCache>
            </c:numRef>
          </c:val>
          <c:extLst>
            <c:ext xmlns:c16="http://schemas.microsoft.com/office/drawing/2014/chart" uri="{C3380CC4-5D6E-409C-BE32-E72D297353CC}">
              <c16:uniqueId val="{00000003-1E25-4893-A384-C473C1E4AD61}"/>
            </c:ext>
          </c:extLst>
        </c:ser>
        <c:ser>
          <c:idx val="4"/>
          <c:order val="4"/>
          <c:tx>
            <c:strRef>
              <c:f>LabourInputs!$J$95</c:f>
              <c:strCache>
                <c:ptCount val="1"/>
                <c:pt idx="0">
                  <c:v>Finance+HR</c:v>
                </c:pt>
              </c:strCache>
            </c:strRef>
          </c:tx>
          <c:spPr>
            <a:solidFill>
              <a:schemeClr val="accent5"/>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LabourInputs!$J$96:$J$100</c:f>
              <c:numCache>
                <c:formatCode>General</c:formatCode>
                <c:ptCount val="5"/>
                <c:pt idx="0">
                  <c:v>1.889</c:v>
                </c:pt>
              </c:numCache>
            </c:numRef>
          </c:val>
          <c:extLst>
            <c:ext xmlns:c16="http://schemas.microsoft.com/office/drawing/2014/chart" uri="{C3380CC4-5D6E-409C-BE32-E72D297353CC}">
              <c16:uniqueId val="{00000004-1E25-4893-A384-C473C1E4AD61}"/>
            </c:ext>
          </c:extLst>
        </c:ser>
        <c:ser>
          <c:idx val="5"/>
          <c:order val="5"/>
          <c:tx>
            <c:strRef>
              <c:f>LabourInputs!$K$95</c:f>
              <c:strCache>
                <c:ptCount val="1"/>
                <c:pt idx="0">
                  <c:v>Eskom Rotek</c:v>
                </c:pt>
              </c:strCache>
            </c:strRef>
          </c:tx>
          <c:spPr>
            <a:solidFill>
              <a:schemeClr val="accent6"/>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LabourInputs!$K$96:$K$100</c:f>
              <c:numCache>
                <c:formatCode>General</c:formatCode>
                <c:ptCount val="5"/>
                <c:pt idx="0">
                  <c:v>5.1639999999999997</c:v>
                </c:pt>
              </c:numCache>
            </c:numRef>
          </c:val>
          <c:extLst>
            <c:ext xmlns:c16="http://schemas.microsoft.com/office/drawing/2014/chart" uri="{C3380CC4-5D6E-409C-BE32-E72D297353CC}">
              <c16:uniqueId val="{00000005-1E25-4893-A384-C473C1E4AD61}"/>
            </c:ext>
          </c:extLst>
        </c:ser>
        <c:ser>
          <c:idx val="6"/>
          <c:order val="6"/>
          <c:tx>
            <c:strRef>
              <c:f>LabourInputs!$L$95</c:f>
              <c:strCache>
                <c:ptCount val="1"/>
                <c:pt idx="0">
                  <c:v>New build</c:v>
                </c:pt>
              </c:strCache>
            </c:strRef>
          </c:tx>
          <c:spPr>
            <a:solidFill>
              <a:schemeClr val="accent1">
                <a:lumMod val="60000"/>
              </a:schemeClr>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LabourInputs!$L$96:$L$100</c:f>
              <c:numCache>
                <c:formatCode>General</c:formatCode>
                <c:ptCount val="5"/>
                <c:pt idx="0">
                  <c:v>1.4410000000000001</c:v>
                </c:pt>
              </c:numCache>
            </c:numRef>
          </c:val>
          <c:extLst>
            <c:ext xmlns:c16="http://schemas.microsoft.com/office/drawing/2014/chart" uri="{C3380CC4-5D6E-409C-BE32-E72D297353CC}">
              <c16:uniqueId val="{00000006-1E25-4893-A384-C473C1E4AD61}"/>
            </c:ext>
          </c:extLst>
        </c:ser>
        <c:ser>
          <c:idx val="7"/>
          <c:order val="7"/>
          <c:tx>
            <c:strRef>
              <c:f>LabourInputs!$M$95</c:f>
              <c:strCache>
                <c:ptCount val="1"/>
                <c:pt idx="0">
                  <c:v>Distribution</c:v>
                </c:pt>
              </c:strCache>
            </c:strRef>
          </c:tx>
          <c:spPr>
            <a:solidFill>
              <a:schemeClr val="accent2">
                <a:lumMod val="60000"/>
              </a:schemeClr>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LabourInputs!$M$96:$M$100</c:f>
              <c:numCache>
                <c:formatCode>General</c:formatCode>
                <c:ptCount val="5"/>
                <c:pt idx="0">
                  <c:v>10.507999999999999</c:v>
                </c:pt>
                <c:pt idx="1">
                  <c:v>22.08</c:v>
                </c:pt>
                <c:pt idx="2">
                  <c:v>23.48</c:v>
                </c:pt>
                <c:pt idx="3">
                  <c:v>45.56</c:v>
                </c:pt>
                <c:pt idx="4" formatCode="0.000">
                  <c:v>47.281333333333336</c:v>
                </c:pt>
              </c:numCache>
            </c:numRef>
          </c:val>
          <c:extLst>
            <c:ext xmlns:c16="http://schemas.microsoft.com/office/drawing/2014/chart" uri="{C3380CC4-5D6E-409C-BE32-E72D297353CC}">
              <c16:uniqueId val="{00000007-1E25-4893-A384-C473C1E4AD61}"/>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LabourInputs!$F$95</c:f>
              <c:strCache>
                <c:ptCount val="1"/>
                <c:pt idx="0">
                  <c:v>Generation</c:v>
                </c:pt>
              </c:strCache>
            </c:strRef>
          </c:tx>
          <c:spPr>
            <a:solidFill>
              <a:schemeClr val="accent1"/>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LabourInputs!$F$97:$F$100</c:f>
              <c:numCache>
                <c:formatCode>General</c:formatCode>
                <c:ptCount val="4"/>
                <c:pt idx="0">
                  <c:v>12.42</c:v>
                </c:pt>
                <c:pt idx="1">
                  <c:v>1.08</c:v>
                </c:pt>
                <c:pt idx="2" formatCode="0.00">
                  <c:v>13.5</c:v>
                </c:pt>
                <c:pt idx="3" formatCode="0.000">
                  <c:v>15.221333333333334</c:v>
                </c:pt>
              </c:numCache>
            </c:numRef>
          </c:val>
          <c:extLst>
            <c:ext xmlns:c16="http://schemas.microsoft.com/office/drawing/2014/chart" uri="{C3380CC4-5D6E-409C-BE32-E72D297353CC}">
              <c16:uniqueId val="{00000000-9608-4FC1-A662-DF8373AEBE80}"/>
            </c:ext>
          </c:extLst>
        </c:ser>
        <c:ser>
          <c:idx val="1"/>
          <c:order val="1"/>
          <c:tx>
            <c:strRef>
              <c:f>LabourInputs!$G$95</c:f>
              <c:strCache>
                <c:ptCount val="1"/>
                <c:pt idx="0">
                  <c:v>Transmission</c:v>
                </c:pt>
              </c:strCache>
            </c:strRef>
          </c:tx>
          <c:spPr>
            <a:solidFill>
              <a:schemeClr val="accent2"/>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LabourInputs!$G$97:$G$100</c:f>
              <c:numCache>
                <c:formatCode>General</c:formatCode>
                <c:ptCount val="4"/>
                <c:pt idx="0">
                  <c:v>1.67</c:v>
                </c:pt>
                <c:pt idx="2">
                  <c:v>1.67</c:v>
                </c:pt>
              </c:numCache>
            </c:numRef>
          </c:val>
          <c:extLst>
            <c:ext xmlns:c16="http://schemas.microsoft.com/office/drawing/2014/chart" uri="{C3380CC4-5D6E-409C-BE32-E72D297353CC}">
              <c16:uniqueId val="{00000001-9608-4FC1-A662-DF8373AEBE80}"/>
            </c:ext>
          </c:extLst>
        </c:ser>
        <c:ser>
          <c:idx val="2"/>
          <c:order val="2"/>
          <c:tx>
            <c:strRef>
              <c:f>LabourInputs!$H$95</c:f>
              <c:strCache>
                <c:ptCount val="1"/>
                <c:pt idx="0">
                  <c:v>Tx+Other Corporate</c:v>
                </c:pt>
              </c:strCache>
            </c:strRef>
          </c:tx>
          <c:spPr>
            <a:solidFill>
              <a:schemeClr val="accent3"/>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LabourInputs!$H$97:$H$100</c:f>
              <c:numCache>
                <c:formatCode>General</c:formatCode>
                <c:ptCount val="4"/>
                <c:pt idx="3" formatCode="0.000">
                  <c:v>9.7730300000000057</c:v>
                </c:pt>
              </c:numCache>
            </c:numRef>
          </c:val>
          <c:extLst>
            <c:ext xmlns:c16="http://schemas.microsoft.com/office/drawing/2014/chart" uri="{C3380CC4-5D6E-409C-BE32-E72D297353CC}">
              <c16:uniqueId val="{00000002-9608-4FC1-A662-DF8373AEBE80}"/>
            </c:ext>
          </c:extLst>
        </c:ser>
        <c:ser>
          <c:idx val="3"/>
          <c:order val="3"/>
          <c:tx>
            <c:strRef>
              <c:f>LabourInputs!$I$95</c:f>
              <c:strCache>
                <c:ptCount val="1"/>
                <c:pt idx="0">
                  <c:v>Other corporate</c:v>
                </c:pt>
              </c:strCache>
            </c:strRef>
          </c:tx>
          <c:spPr>
            <a:solidFill>
              <a:schemeClr val="accent4"/>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LabourInputs!$I$97:$I$100</c:f>
              <c:numCache>
                <c:formatCode>0.0</c:formatCode>
                <c:ptCount val="4"/>
                <c:pt idx="0" formatCode="General">
                  <c:v>7.8299999999999983</c:v>
                </c:pt>
                <c:pt idx="1">
                  <c:v>3.7160300000000035</c:v>
                </c:pt>
                <c:pt idx="2" formatCode="General">
                  <c:v>11.546030000000002</c:v>
                </c:pt>
              </c:numCache>
            </c:numRef>
          </c:val>
          <c:extLst>
            <c:ext xmlns:c16="http://schemas.microsoft.com/office/drawing/2014/chart" uri="{C3380CC4-5D6E-409C-BE32-E72D297353CC}">
              <c16:uniqueId val="{00000003-9608-4FC1-A662-DF8373AEBE80}"/>
            </c:ext>
          </c:extLst>
        </c:ser>
        <c:ser>
          <c:idx val="4"/>
          <c:order val="4"/>
          <c:tx>
            <c:strRef>
              <c:f>LabourInputs!$J$95</c:f>
              <c:strCache>
                <c:ptCount val="1"/>
                <c:pt idx="0">
                  <c:v>Finance+HR</c:v>
                </c:pt>
              </c:strCache>
            </c:strRef>
          </c:tx>
          <c:spPr>
            <a:solidFill>
              <a:schemeClr val="accent5"/>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LabourInputs!$J$97:$J$100</c:f>
              <c:numCache>
                <c:formatCode>General</c:formatCode>
                <c:ptCount val="4"/>
              </c:numCache>
            </c:numRef>
          </c:val>
          <c:extLst>
            <c:ext xmlns:c16="http://schemas.microsoft.com/office/drawing/2014/chart" uri="{C3380CC4-5D6E-409C-BE32-E72D297353CC}">
              <c16:uniqueId val="{00000004-9608-4FC1-A662-DF8373AEBE80}"/>
            </c:ext>
          </c:extLst>
        </c:ser>
        <c:ser>
          <c:idx val="5"/>
          <c:order val="5"/>
          <c:tx>
            <c:strRef>
              <c:f>LabourInputs!$K$95</c:f>
              <c:strCache>
                <c:ptCount val="1"/>
                <c:pt idx="0">
                  <c:v>Eskom Rotek</c:v>
                </c:pt>
              </c:strCache>
            </c:strRef>
          </c:tx>
          <c:spPr>
            <a:solidFill>
              <a:schemeClr val="accent6"/>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LabourInputs!$K$97:$K$100</c:f>
              <c:numCache>
                <c:formatCode>General</c:formatCode>
                <c:ptCount val="4"/>
              </c:numCache>
            </c:numRef>
          </c:val>
          <c:extLst>
            <c:ext xmlns:c16="http://schemas.microsoft.com/office/drawing/2014/chart" uri="{C3380CC4-5D6E-409C-BE32-E72D297353CC}">
              <c16:uniqueId val="{00000005-9608-4FC1-A662-DF8373AEBE80}"/>
            </c:ext>
          </c:extLst>
        </c:ser>
        <c:ser>
          <c:idx val="6"/>
          <c:order val="6"/>
          <c:tx>
            <c:strRef>
              <c:f>LabourInputs!$L$95</c:f>
              <c:strCache>
                <c:ptCount val="1"/>
                <c:pt idx="0">
                  <c:v>New build</c:v>
                </c:pt>
              </c:strCache>
            </c:strRef>
          </c:tx>
          <c:spPr>
            <a:solidFill>
              <a:schemeClr val="accent1">
                <a:lumMod val="60000"/>
              </a:schemeClr>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LabourInputs!$L$97:$L$100</c:f>
              <c:numCache>
                <c:formatCode>General</c:formatCode>
                <c:ptCount val="4"/>
              </c:numCache>
            </c:numRef>
          </c:val>
          <c:extLst>
            <c:ext xmlns:c16="http://schemas.microsoft.com/office/drawing/2014/chart" uri="{C3380CC4-5D6E-409C-BE32-E72D297353CC}">
              <c16:uniqueId val="{00000006-9608-4FC1-A662-DF8373AEBE80}"/>
            </c:ext>
          </c:extLst>
        </c:ser>
        <c:ser>
          <c:idx val="7"/>
          <c:order val="7"/>
          <c:tx>
            <c:strRef>
              <c:f>LabourInputs!$M$95</c:f>
              <c:strCache>
                <c:ptCount val="1"/>
                <c:pt idx="0">
                  <c:v>Distribution</c:v>
                </c:pt>
              </c:strCache>
            </c:strRef>
          </c:tx>
          <c:spPr>
            <a:solidFill>
              <a:schemeClr val="accent2">
                <a:lumMod val="60000"/>
              </a:schemeClr>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LabourInputs!$M$97:$M$100</c:f>
              <c:numCache>
                <c:formatCode>General</c:formatCode>
                <c:ptCount val="4"/>
                <c:pt idx="0">
                  <c:v>22.08</c:v>
                </c:pt>
                <c:pt idx="1">
                  <c:v>23.48</c:v>
                </c:pt>
                <c:pt idx="2">
                  <c:v>45.56</c:v>
                </c:pt>
                <c:pt idx="3" formatCode="0.000">
                  <c:v>47.281333333333336</c:v>
                </c:pt>
              </c:numCache>
            </c:numRef>
          </c:val>
          <c:extLst>
            <c:ext xmlns:c16="http://schemas.microsoft.com/office/drawing/2014/chart" uri="{C3380CC4-5D6E-409C-BE32-E72D297353CC}">
              <c16:uniqueId val="{00000007-9608-4FC1-A662-DF8373AEBE80}"/>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legendEntry>
        <c:idx val="4"/>
        <c:delete val="1"/>
      </c:legendEntry>
      <c:legendEntry>
        <c:idx val="5"/>
        <c:delete val="1"/>
      </c:legendEntry>
      <c:legendEntry>
        <c:idx val="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chart" Target="../charts/chart1.xml"/><Relationship Id="rId7" Type="http://schemas.openxmlformats.org/officeDocument/2006/relationships/image" Target="../media/image12.emf"/><Relationship Id="rId12" Type="http://schemas.openxmlformats.org/officeDocument/2006/relationships/image" Target="../media/image15.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chart" Target="../charts/chart2.xml"/><Relationship Id="rId11" Type="http://schemas.openxmlformats.org/officeDocument/2006/relationships/image" Target="../media/image14.png"/><Relationship Id="rId5" Type="http://schemas.openxmlformats.org/officeDocument/2006/relationships/image" Target="../media/image11.emf"/><Relationship Id="rId10" Type="http://schemas.openxmlformats.org/officeDocument/2006/relationships/chart" Target="../charts/chart4.xml"/><Relationship Id="rId4" Type="http://schemas.openxmlformats.org/officeDocument/2006/relationships/image" Target="../media/image10.emf"/><Relationship Id="rId9" Type="http://schemas.openxmlformats.org/officeDocument/2006/relationships/image" Target="../media/image13.emf"/></Relationships>
</file>

<file path=xl/drawings/_rels/drawing6.xml.rels><?xml version="1.0" encoding="UTF-8" standalone="yes"?>
<Relationships xmlns="http://schemas.openxmlformats.org/package/2006/relationships"><Relationship Id="rId3" Type="http://schemas.openxmlformats.org/officeDocument/2006/relationships/image" Target="../media/image18.jpe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8" Type="http://schemas.openxmlformats.org/officeDocument/2006/relationships/image" Target="../media/image30.emf"/><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emf"/><Relationship Id="rId1" Type="http://schemas.openxmlformats.org/officeDocument/2006/relationships/image" Target="../media/image23.emf"/><Relationship Id="rId6" Type="http://schemas.openxmlformats.org/officeDocument/2006/relationships/image" Target="../media/image28.png"/><Relationship Id="rId11" Type="http://schemas.openxmlformats.org/officeDocument/2006/relationships/image" Target="../media/image31.png"/><Relationship Id="rId5" Type="http://schemas.openxmlformats.org/officeDocument/2006/relationships/image" Target="../media/image27.png"/><Relationship Id="rId10" Type="http://schemas.openxmlformats.org/officeDocument/2006/relationships/chart" Target="../charts/chart6.xml"/><Relationship Id="rId4" Type="http://schemas.openxmlformats.org/officeDocument/2006/relationships/image" Target="../media/image26.pn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7</xdr:col>
      <xdr:colOff>295274</xdr:colOff>
      <xdr:row>5</xdr:row>
      <xdr:rowOff>77872</xdr:rowOff>
    </xdr:from>
    <xdr:to>
      <xdr:col>13</xdr:col>
      <xdr:colOff>15874</xdr:colOff>
      <xdr:row>21</xdr:row>
      <xdr:rowOff>76200</xdr:rowOff>
    </xdr:to>
    <xdr:pic>
      <xdr:nvPicPr>
        <xdr:cNvPr id="2" name="Picture 1">
          <a:extLst>
            <a:ext uri="{FF2B5EF4-FFF2-40B4-BE49-F238E27FC236}">
              <a16:creationId xmlns:a16="http://schemas.microsoft.com/office/drawing/2014/main" id="{5A855A91-FFAF-478F-9F7B-78381FEB3CED}"/>
            </a:ext>
          </a:extLst>
        </xdr:cNvPr>
        <xdr:cNvPicPr>
          <a:picLocks noChangeAspect="1"/>
        </xdr:cNvPicPr>
      </xdr:nvPicPr>
      <xdr:blipFill>
        <a:blip xmlns:r="http://schemas.openxmlformats.org/officeDocument/2006/relationships" r:embed="rId1"/>
        <a:stretch>
          <a:fillRect/>
        </a:stretch>
      </xdr:blipFill>
      <xdr:spPr>
        <a:xfrm>
          <a:off x="7200899" y="925597"/>
          <a:ext cx="3673475" cy="38845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340768</xdr:colOff>
      <xdr:row>196</xdr:row>
      <xdr:rowOff>231321</xdr:rowOff>
    </xdr:from>
    <xdr:to>
      <xdr:col>10</xdr:col>
      <xdr:colOff>1360714</xdr:colOff>
      <xdr:row>202</xdr:row>
      <xdr:rowOff>5443</xdr:rowOff>
    </xdr:to>
    <xdr:sp macro="" textlink="">
      <xdr:nvSpPr>
        <xdr:cNvPr id="2" name="Arrow: Down 1">
          <a:extLst>
            <a:ext uri="{FF2B5EF4-FFF2-40B4-BE49-F238E27FC236}">
              <a16:creationId xmlns:a16="http://schemas.microsoft.com/office/drawing/2014/main" id="{F985488A-100B-467B-A397-1B3310DA2906}"/>
            </a:ext>
          </a:extLst>
        </xdr:cNvPr>
        <xdr:cNvSpPr/>
      </xdr:nvSpPr>
      <xdr:spPr>
        <a:xfrm>
          <a:off x="5065168" y="37531221"/>
          <a:ext cx="1429521" cy="95522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copy</a:t>
          </a:r>
          <a:r>
            <a:rPr lang="en-ZA" sz="1100" baseline="0"/>
            <a:t> into one table </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23</xdr:col>
      <xdr:colOff>594360</xdr:colOff>
      <xdr:row>183</xdr:row>
      <xdr:rowOff>83820</xdr:rowOff>
    </xdr:from>
    <xdr:ext cx="6705600" cy="2540607"/>
    <xdr:pic>
      <xdr:nvPicPr>
        <xdr:cNvPr id="2" name="Picture 1">
          <a:extLst>
            <a:ext uri="{FF2B5EF4-FFF2-40B4-BE49-F238E27FC236}">
              <a16:creationId xmlns:a16="http://schemas.microsoft.com/office/drawing/2014/main" id="{3FC2948B-4A56-4AB0-8D82-BB5A303435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177010" y="34945320"/>
          <a:ext cx="6705600" cy="254060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762000</xdr:colOff>
      <xdr:row>211</xdr:row>
      <xdr:rowOff>33130</xdr:rowOff>
    </xdr:from>
    <xdr:to>
      <xdr:col>6</xdr:col>
      <xdr:colOff>368577</xdr:colOff>
      <xdr:row>217</xdr:row>
      <xdr:rowOff>135006</xdr:rowOff>
    </xdr:to>
    <xdr:sp macro="" textlink="">
      <xdr:nvSpPr>
        <xdr:cNvPr id="3" name="Arrow: Down 2">
          <a:extLst>
            <a:ext uri="{FF2B5EF4-FFF2-40B4-BE49-F238E27FC236}">
              <a16:creationId xmlns:a16="http://schemas.microsoft.com/office/drawing/2014/main" id="{63D6C79D-2333-4DA3-BEEE-3A7EDEDCA0BD}"/>
            </a:ext>
          </a:extLst>
        </xdr:cNvPr>
        <xdr:cNvSpPr/>
      </xdr:nvSpPr>
      <xdr:spPr>
        <a:xfrm>
          <a:off x="2952750" y="40228630"/>
          <a:ext cx="959127" cy="124487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copy</a:t>
          </a:r>
          <a:r>
            <a:rPr lang="en-ZA" sz="1100" baseline="0"/>
            <a:t> into one table </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1</xdr:row>
      <xdr:rowOff>76200</xdr:rowOff>
    </xdr:from>
    <xdr:ext cx="8496558" cy="5429250"/>
    <xdr:pic>
      <xdr:nvPicPr>
        <xdr:cNvPr id="2" name="Picture 1">
          <a:extLst>
            <a:ext uri="{FF2B5EF4-FFF2-40B4-BE49-F238E27FC236}">
              <a16:creationId xmlns:a16="http://schemas.microsoft.com/office/drawing/2014/main" id="{FA87725E-6AFF-4169-B07D-5AEF2FDCEFBA}"/>
            </a:ext>
          </a:extLst>
        </xdr:cNvPr>
        <xdr:cNvPicPr>
          <a:picLocks noChangeAspect="1"/>
        </xdr:cNvPicPr>
      </xdr:nvPicPr>
      <xdr:blipFill>
        <a:blip xmlns:r="http://schemas.openxmlformats.org/officeDocument/2006/relationships" r:embed="rId1"/>
        <a:stretch>
          <a:fillRect/>
        </a:stretch>
      </xdr:blipFill>
      <xdr:spPr>
        <a:xfrm>
          <a:off x="0" y="266700"/>
          <a:ext cx="8496558" cy="5429250"/>
        </a:xfrm>
        <a:prstGeom prst="rect">
          <a:avLst/>
        </a:prstGeom>
      </xdr:spPr>
    </xdr:pic>
    <xdr:clientData/>
  </xdr:oneCellAnchor>
  <xdr:oneCellAnchor>
    <xdr:from>
      <xdr:col>0</xdr:col>
      <xdr:colOff>0</xdr:colOff>
      <xdr:row>32</xdr:row>
      <xdr:rowOff>123825</xdr:rowOff>
    </xdr:from>
    <xdr:ext cx="10231315" cy="5801535"/>
    <xdr:pic>
      <xdr:nvPicPr>
        <xdr:cNvPr id="3" name="Picture 2">
          <a:extLst>
            <a:ext uri="{FF2B5EF4-FFF2-40B4-BE49-F238E27FC236}">
              <a16:creationId xmlns:a16="http://schemas.microsoft.com/office/drawing/2014/main" id="{06E88111-824B-4F96-9C45-B4B1E2679B4B}"/>
            </a:ext>
          </a:extLst>
        </xdr:cNvPr>
        <xdr:cNvPicPr>
          <a:picLocks noChangeAspect="1"/>
        </xdr:cNvPicPr>
      </xdr:nvPicPr>
      <xdr:blipFill>
        <a:blip xmlns:r="http://schemas.openxmlformats.org/officeDocument/2006/relationships" r:embed="rId2"/>
        <a:stretch>
          <a:fillRect/>
        </a:stretch>
      </xdr:blipFill>
      <xdr:spPr>
        <a:xfrm>
          <a:off x="0" y="6219825"/>
          <a:ext cx="10231315" cy="5801535"/>
        </a:xfrm>
        <a:prstGeom prst="rect">
          <a:avLst/>
        </a:prstGeom>
      </xdr:spPr>
    </xdr:pic>
    <xdr:clientData/>
  </xdr:oneCellAnchor>
  <xdr:oneCellAnchor>
    <xdr:from>
      <xdr:col>5</xdr:col>
      <xdr:colOff>266700</xdr:colOff>
      <xdr:row>18</xdr:row>
      <xdr:rowOff>28575</xdr:rowOff>
    </xdr:from>
    <xdr:ext cx="4400000" cy="3533333"/>
    <xdr:pic>
      <xdr:nvPicPr>
        <xdr:cNvPr id="4" name="Picture 3">
          <a:extLst>
            <a:ext uri="{FF2B5EF4-FFF2-40B4-BE49-F238E27FC236}">
              <a16:creationId xmlns:a16="http://schemas.microsoft.com/office/drawing/2014/main" id="{BD81493E-C655-4F39-8650-D56FBFE985D9}"/>
            </a:ext>
          </a:extLst>
        </xdr:cNvPr>
        <xdr:cNvPicPr>
          <a:picLocks noChangeAspect="1"/>
        </xdr:cNvPicPr>
      </xdr:nvPicPr>
      <xdr:blipFill>
        <a:blip xmlns:r="http://schemas.openxmlformats.org/officeDocument/2006/relationships" r:embed="rId3"/>
        <a:stretch>
          <a:fillRect/>
        </a:stretch>
      </xdr:blipFill>
      <xdr:spPr>
        <a:xfrm>
          <a:off x="3314700" y="3457575"/>
          <a:ext cx="4400000" cy="3533333"/>
        </a:xfrm>
        <a:prstGeom prst="rect">
          <a:avLst/>
        </a:prstGeom>
      </xdr:spPr>
    </xdr:pic>
    <xdr:clientData/>
  </xdr:oneCellAnchor>
  <xdr:oneCellAnchor>
    <xdr:from>
      <xdr:col>21</xdr:col>
      <xdr:colOff>333376</xdr:colOff>
      <xdr:row>35</xdr:row>
      <xdr:rowOff>133352</xdr:rowOff>
    </xdr:from>
    <xdr:ext cx="6943724" cy="3977330"/>
    <xdr:pic>
      <xdr:nvPicPr>
        <xdr:cNvPr id="5" name="Picture 4">
          <a:extLst>
            <a:ext uri="{FF2B5EF4-FFF2-40B4-BE49-F238E27FC236}">
              <a16:creationId xmlns:a16="http://schemas.microsoft.com/office/drawing/2014/main" id="{B5CE05E9-7B9A-4EE0-883E-1CF955F0CF01}"/>
            </a:ext>
          </a:extLst>
        </xdr:cNvPr>
        <xdr:cNvPicPr>
          <a:picLocks noChangeAspect="1"/>
        </xdr:cNvPicPr>
      </xdr:nvPicPr>
      <xdr:blipFill>
        <a:blip xmlns:r="http://schemas.openxmlformats.org/officeDocument/2006/relationships" r:embed="rId4"/>
        <a:stretch>
          <a:fillRect/>
        </a:stretch>
      </xdr:blipFill>
      <xdr:spPr>
        <a:xfrm>
          <a:off x="14839951" y="6800852"/>
          <a:ext cx="6943724" cy="3977330"/>
        </a:xfrm>
        <a:prstGeom prst="rect">
          <a:avLst/>
        </a:prstGeom>
      </xdr:spPr>
    </xdr:pic>
    <xdr:clientData/>
  </xdr:oneCellAnchor>
  <xdr:oneCellAnchor>
    <xdr:from>
      <xdr:col>5</xdr:col>
      <xdr:colOff>0</xdr:colOff>
      <xdr:row>67</xdr:row>
      <xdr:rowOff>0</xdr:rowOff>
    </xdr:from>
    <xdr:ext cx="7171428" cy="5666667"/>
    <xdr:pic>
      <xdr:nvPicPr>
        <xdr:cNvPr id="6" name="Picture 5">
          <a:extLst>
            <a:ext uri="{FF2B5EF4-FFF2-40B4-BE49-F238E27FC236}">
              <a16:creationId xmlns:a16="http://schemas.microsoft.com/office/drawing/2014/main" id="{781C1081-B886-4D9D-9452-C44C7D65024E}"/>
            </a:ext>
          </a:extLst>
        </xdr:cNvPr>
        <xdr:cNvPicPr>
          <a:picLocks noChangeAspect="1"/>
        </xdr:cNvPicPr>
      </xdr:nvPicPr>
      <xdr:blipFill>
        <a:blip xmlns:r="http://schemas.openxmlformats.org/officeDocument/2006/relationships" r:embed="rId5"/>
        <a:stretch>
          <a:fillRect/>
        </a:stretch>
      </xdr:blipFill>
      <xdr:spPr>
        <a:xfrm>
          <a:off x="3048000" y="12763500"/>
          <a:ext cx="7171428" cy="5666667"/>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78441</xdr:colOff>
      <xdr:row>8</xdr:row>
      <xdr:rowOff>44824</xdr:rowOff>
    </xdr:from>
    <xdr:to>
      <xdr:col>14</xdr:col>
      <xdr:colOff>229442</xdr:colOff>
      <xdr:row>33</xdr:row>
      <xdr:rowOff>67235</xdr:rowOff>
    </xdr:to>
    <xdr:pic>
      <xdr:nvPicPr>
        <xdr:cNvPr id="2" name="Picture 1">
          <a:extLst>
            <a:ext uri="{FF2B5EF4-FFF2-40B4-BE49-F238E27FC236}">
              <a16:creationId xmlns:a16="http://schemas.microsoft.com/office/drawing/2014/main" id="{6532173E-B2EE-4E67-AB68-6E78F4B1666A}"/>
            </a:ext>
          </a:extLst>
        </xdr:cNvPr>
        <xdr:cNvPicPr>
          <a:picLocks noChangeAspect="1"/>
        </xdr:cNvPicPr>
      </xdr:nvPicPr>
      <xdr:blipFill>
        <a:blip xmlns:r="http://schemas.openxmlformats.org/officeDocument/2006/relationships" r:embed="rId1"/>
        <a:stretch>
          <a:fillRect/>
        </a:stretch>
      </xdr:blipFill>
      <xdr:spPr>
        <a:xfrm>
          <a:off x="1297641" y="1340224"/>
          <a:ext cx="8647301" cy="4070536"/>
        </a:xfrm>
        <a:prstGeom prst="rect">
          <a:avLst/>
        </a:prstGeom>
      </xdr:spPr>
    </xdr:pic>
    <xdr:clientData/>
  </xdr:twoCellAnchor>
  <xdr:twoCellAnchor editAs="oneCell">
    <xdr:from>
      <xdr:col>3</xdr:col>
      <xdr:colOff>472887</xdr:colOff>
      <xdr:row>33</xdr:row>
      <xdr:rowOff>102225</xdr:rowOff>
    </xdr:from>
    <xdr:to>
      <xdr:col>13</xdr:col>
      <xdr:colOff>552503</xdr:colOff>
      <xdr:row>41</xdr:row>
      <xdr:rowOff>63565</xdr:rowOff>
    </xdr:to>
    <xdr:pic>
      <xdr:nvPicPr>
        <xdr:cNvPr id="3" name="Picture 2">
          <a:extLst>
            <a:ext uri="{FF2B5EF4-FFF2-40B4-BE49-F238E27FC236}">
              <a16:creationId xmlns:a16="http://schemas.microsoft.com/office/drawing/2014/main" id="{14BED7E8-C981-45B8-8104-89E4D1104A31}"/>
            </a:ext>
          </a:extLst>
        </xdr:cNvPr>
        <xdr:cNvPicPr>
          <a:picLocks noChangeAspect="1"/>
        </xdr:cNvPicPr>
      </xdr:nvPicPr>
      <xdr:blipFill>
        <a:blip xmlns:r="http://schemas.openxmlformats.org/officeDocument/2006/relationships" r:embed="rId2"/>
        <a:stretch>
          <a:fillRect/>
        </a:stretch>
      </xdr:blipFill>
      <xdr:spPr>
        <a:xfrm>
          <a:off x="2930337" y="5445750"/>
          <a:ext cx="6728066" cy="1256740"/>
        </a:xfrm>
        <a:prstGeom prst="rect">
          <a:avLst/>
        </a:prstGeom>
      </xdr:spPr>
    </xdr:pic>
    <xdr:clientData/>
  </xdr:twoCellAnchor>
  <xdr:twoCellAnchor>
    <xdr:from>
      <xdr:col>2</xdr:col>
      <xdr:colOff>825563</xdr:colOff>
      <xdr:row>6</xdr:row>
      <xdr:rowOff>43961</xdr:rowOff>
    </xdr:from>
    <xdr:to>
      <xdr:col>14</xdr:col>
      <xdr:colOff>80373</xdr:colOff>
      <xdr:row>32</xdr:row>
      <xdr:rowOff>36634</xdr:rowOff>
    </xdr:to>
    <xdr:graphicFrame macro="">
      <xdr:nvGraphicFramePr>
        <xdr:cNvPr id="4" name="Chart 3">
          <a:extLst>
            <a:ext uri="{FF2B5EF4-FFF2-40B4-BE49-F238E27FC236}">
              <a16:creationId xmlns:a16="http://schemas.microsoft.com/office/drawing/2014/main" id="{8C431BF6-B607-49CF-8B73-74FBC7802B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257175</xdr:colOff>
      <xdr:row>45</xdr:row>
      <xdr:rowOff>66675</xdr:rowOff>
    </xdr:from>
    <xdr:to>
      <xdr:col>14</xdr:col>
      <xdr:colOff>276225</xdr:colOff>
      <xdr:row>69</xdr:row>
      <xdr:rowOff>75530</xdr:rowOff>
    </xdr:to>
    <xdr:pic>
      <xdr:nvPicPr>
        <xdr:cNvPr id="5" name="Picture 4">
          <a:extLst>
            <a:ext uri="{FF2B5EF4-FFF2-40B4-BE49-F238E27FC236}">
              <a16:creationId xmlns:a16="http://schemas.microsoft.com/office/drawing/2014/main" id="{B1909FD2-2FD7-4F3B-8E44-031AE0658B9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4625" y="7353300"/>
          <a:ext cx="7277100" cy="3895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95250</xdr:colOff>
      <xdr:row>71</xdr:row>
      <xdr:rowOff>57150</xdr:rowOff>
    </xdr:from>
    <xdr:to>
      <xdr:col>10</xdr:col>
      <xdr:colOff>104775</xdr:colOff>
      <xdr:row>73</xdr:row>
      <xdr:rowOff>123824</xdr:rowOff>
    </xdr:to>
    <xdr:pic>
      <xdr:nvPicPr>
        <xdr:cNvPr id="6" name="Picture 5">
          <a:extLst>
            <a:ext uri="{FF2B5EF4-FFF2-40B4-BE49-F238E27FC236}">
              <a16:creationId xmlns:a16="http://schemas.microsoft.com/office/drawing/2014/main" id="{70C185EF-6B46-4207-9045-4ED60827CAD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648200" y="11553825"/>
          <a:ext cx="2733675" cy="390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723899</xdr:colOff>
      <xdr:row>42</xdr:row>
      <xdr:rowOff>95249</xdr:rowOff>
    </xdr:from>
    <xdr:to>
      <xdr:col>13</xdr:col>
      <xdr:colOff>600075</xdr:colOff>
      <xdr:row>68</xdr:row>
      <xdr:rowOff>38100</xdr:rowOff>
    </xdr:to>
    <xdr:graphicFrame macro="">
      <xdr:nvGraphicFramePr>
        <xdr:cNvPr id="7" name="Chart 6">
          <a:extLst>
            <a:ext uri="{FF2B5EF4-FFF2-40B4-BE49-F238E27FC236}">
              <a16:creationId xmlns:a16="http://schemas.microsoft.com/office/drawing/2014/main" id="{B6444263-B6ED-46BF-9791-3372490DD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185116</xdr:colOff>
      <xdr:row>76</xdr:row>
      <xdr:rowOff>129623</xdr:rowOff>
    </xdr:from>
    <xdr:to>
      <xdr:col>15</xdr:col>
      <xdr:colOff>79513</xdr:colOff>
      <xdr:row>89</xdr:row>
      <xdr:rowOff>2072</xdr:rowOff>
    </xdr:to>
    <xdr:pic>
      <xdr:nvPicPr>
        <xdr:cNvPr id="8" name="Picture 7">
          <a:extLst>
            <a:ext uri="{FF2B5EF4-FFF2-40B4-BE49-F238E27FC236}">
              <a16:creationId xmlns:a16="http://schemas.microsoft.com/office/drawing/2014/main" id="{E21792D5-37DA-4D3F-B155-7F0C2C61B4B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128466" y="12435923"/>
          <a:ext cx="6276147" cy="1977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635276</xdr:colOff>
      <xdr:row>73</xdr:row>
      <xdr:rowOff>129622</xdr:rowOff>
    </xdr:from>
    <xdr:to>
      <xdr:col>14</xdr:col>
      <xdr:colOff>530501</xdr:colOff>
      <xdr:row>88</xdr:row>
      <xdr:rowOff>11596</xdr:rowOff>
    </xdr:to>
    <xdr:graphicFrame macro="">
      <xdr:nvGraphicFramePr>
        <xdr:cNvPr id="9" name="Chart 8">
          <a:extLst>
            <a:ext uri="{FF2B5EF4-FFF2-40B4-BE49-F238E27FC236}">
              <a16:creationId xmlns:a16="http://schemas.microsoft.com/office/drawing/2014/main" id="{886EA6F1-0C70-499D-B48D-FE83916BC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28576</xdr:colOff>
      <xdr:row>97</xdr:row>
      <xdr:rowOff>38100</xdr:rowOff>
    </xdr:from>
    <xdr:to>
      <xdr:col>12</xdr:col>
      <xdr:colOff>180976</xdr:colOff>
      <xdr:row>109</xdr:row>
      <xdr:rowOff>74306</xdr:rowOff>
    </xdr:to>
    <xdr:pic>
      <xdr:nvPicPr>
        <xdr:cNvPr id="10" name="Picture 9">
          <a:extLst>
            <a:ext uri="{FF2B5EF4-FFF2-40B4-BE49-F238E27FC236}">
              <a16:creationId xmlns:a16="http://schemas.microsoft.com/office/drawing/2014/main" id="{758D5DE0-6C7F-40FC-8467-7F016F8E100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971926" y="15744825"/>
          <a:ext cx="4705350" cy="1979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519112</xdr:colOff>
      <xdr:row>92</xdr:row>
      <xdr:rowOff>47625</xdr:rowOff>
    </xdr:from>
    <xdr:to>
      <xdr:col>12</xdr:col>
      <xdr:colOff>180975</xdr:colOff>
      <xdr:row>109</xdr:row>
      <xdr:rowOff>38100</xdr:rowOff>
    </xdr:to>
    <xdr:graphicFrame macro="">
      <xdr:nvGraphicFramePr>
        <xdr:cNvPr id="11" name="Chart 10">
          <a:extLst>
            <a:ext uri="{FF2B5EF4-FFF2-40B4-BE49-F238E27FC236}">
              <a16:creationId xmlns:a16="http://schemas.microsoft.com/office/drawing/2014/main" id="{4B519101-FC79-4BF9-946C-EFF3B40CB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0</xdr:colOff>
      <xdr:row>122</xdr:row>
      <xdr:rowOff>0</xdr:rowOff>
    </xdr:from>
    <xdr:to>
      <xdr:col>10</xdr:col>
      <xdr:colOff>342261</xdr:colOff>
      <xdr:row>152</xdr:row>
      <xdr:rowOff>83699</xdr:rowOff>
    </xdr:to>
    <xdr:pic>
      <xdr:nvPicPr>
        <xdr:cNvPr id="12" name="Picture 11">
          <a:extLst>
            <a:ext uri="{FF2B5EF4-FFF2-40B4-BE49-F238E27FC236}">
              <a16:creationId xmlns:a16="http://schemas.microsoft.com/office/drawing/2014/main" id="{F1B48325-375D-4AFF-8847-B4AF102BB178}"/>
            </a:ext>
          </a:extLst>
        </xdr:cNvPr>
        <xdr:cNvPicPr>
          <a:picLocks noChangeAspect="1"/>
        </xdr:cNvPicPr>
      </xdr:nvPicPr>
      <xdr:blipFill>
        <a:blip xmlns:r="http://schemas.openxmlformats.org/officeDocument/2006/relationships" r:embed="rId11"/>
        <a:stretch>
          <a:fillRect/>
        </a:stretch>
      </xdr:blipFill>
      <xdr:spPr>
        <a:xfrm>
          <a:off x="2457450" y="19754850"/>
          <a:ext cx="5161911" cy="4941449"/>
        </a:xfrm>
        <a:prstGeom prst="rect">
          <a:avLst/>
        </a:prstGeom>
      </xdr:spPr>
    </xdr:pic>
    <xdr:clientData/>
  </xdr:twoCellAnchor>
  <xdr:twoCellAnchor editAs="oneCell">
    <xdr:from>
      <xdr:col>8</xdr:col>
      <xdr:colOff>9525</xdr:colOff>
      <xdr:row>109</xdr:row>
      <xdr:rowOff>123825</xdr:rowOff>
    </xdr:from>
    <xdr:to>
      <xdr:col>13</xdr:col>
      <xdr:colOff>76200</xdr:colOff>
      <xdr:row>119</xdr:row>
      <xdr:rowOff>123825</xdr:rowOff>
    </xdr:to>
    <xdr:pic>
      <xdr:nvPicPr>
        <xdr:cNvPr id="13" name="Picture 1">
          <a:extLst>
            <a:ext uri="{FF2B5EF4-FFF2-40B4-BE49-F238E27FC236}">
              <a16:creationId xmlns:a16="http://schemas.microsoft.com/office/drawing/2014/main" id="{ACE82C43-43C2-4293-9787-E440869CC7BE}"/>
            </a:ext>
            <a:ext uri="{147F2762-F138-4A5C-976F-8EAC2B608ADB}">
              <a16:predDERef xmlns:a16="http://schemas.microsoft.com/office/drawing/2014/main" pred="{6F8DAD46-FFE5-139B-35DD-BDC134F80533}"/>
            </a:ext>
          </a:extLst>
        </xdr:cNvPr>
        <xdr:cNvPicPr>
          <a:picLocks noChangeAspect="1"/>
        </xdr:cNvPicPr>
      </xdr:nvPicPr>
      <xdr:blipFill>
        <a:blip xmlns:r="http://schemas.openxmlformats.org/officeDocument/2006/relationships" r:embed="rId12"/>
        <a:stretch>
          <a:fillRect/>
        </a:stretch>
      </xdr:blipFill>
      <xdr:spPr>
        <a:xfrm>
          <a:off x="6067425" y="17773650"/>
          <a:ext cx="3114675" cy="16192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590550</xdr:colOff>
      <xdr:row>28</xdr:row>
      <xdr:rowOff>152400</xdr:rowOff>
    </xdr:from>
    <xdr:to>
      <xdr:col>11</xdr:col>
      <xdr:colOff>1922</xdr:colOff>
      <xdr:row>40</xdr:row>
      <xdr:rowOff>114058</xdr:rowOff>
    </xdr:to>
    <xdr:pic>
      <xdr:nvPicPr>
        <xdr:cNvPr id="2" name="Picture 1">
          <a:extLst>
            <a:ext uri="{FF2B5EF4-FFF2-40B4-BE49-F238E27FC236}">
              <a16:creationId xmlns:a16="http://schemas.microsoft.com/office/drawing/2014/main" id="{6C82AEF3-792D-F22A-CB2C-9063E1019DEE}"/>
            </a:ext>
          </a:extLst>
        </xdr:cNvPr>
        <xdr:cNvPicPr>
          <a:picLocks noChangeAspect="1"/>
        </xdr:cNvPicPr>
      </xdr:nvPicPr>
      <xdr:blipFill>
        <a:blip xmlns:r="http://schemas.openxmlformats.org/officeDocument/2006/relationships" r:embed="rId1"/>
        <a:stretch>
          <a:fillRect/>
        </a:stretch>
      </xdr:blipFill>
      <xdr:spPr>
        <a:xfrm>
          <a:off x="3028950" y="5943600"/>
          <a:ext cx="3676190" cy="1933333"/>
        </a:xfrm>
        <a:prstGeom prst="rect">
          <a:avLst/>
        </a:prstGeom>
      </xdr:spPr>
    </xdr:pic>
    <xdr:clientData/>
  </xdr:twoCellAnchor>
  <xdr:twoCellAnchor editAs="oneCell">
    <xdr:from>
      <xdr:col>2</xdr:col>
      <xdr:colOff>295275</xdr:colOff>
      <xdr:row>42</xdr:row>
      <xdr:rowOff>114300</xdr:rowOff>
    </xdr:from>
    <xdr:to>
      <xdr:col>10</xdr:col>
      <xdr:colOff>370856</xdr:colOff>
      <xdr:row>54</xdr:row>
      <xdr:rowOff>152152</xdr:rowOff>
    </xdr:to>
    <xdr:pic>
      <xdr:nvPicPr>
        <xdr:cNvPr id="3" name="Picture 2">
          <a:extLst>
            <a:ext uri="{FF2B5EF4-FFF2-40B4-BE49-F238E27FC236}">
              <a16:creationId xmlns:a16="http://schemas.microsoft.com/office/drawing/2014/main" id="{8B34C460-E86D-FDD1-EAE3-378C3435BC59}"/>
            </a:ext>
          </a:extLst>
        </xdr:cNvPr>
        <xdr:cNvPicPr>
          <a:picLocks noChangeAspect="1"/>
        </xdr:cNvPicPr>
      </xdr:nvPicPr>
      <xdr:blipFill>
        <a:blip xmlns:r="http://schemas.openxmlformats.org/officeDocument/2006/relationships" r:embed="rId2"/>
        <a:stretch>
          <a:fillRect/>
        </a:stretch>
      </xdr:blipFill>
      <xdr:spPr>
        <a:xfrm>
          <a:off x="1514475" y="8410575"/>
          <a:ext cx="4952381" cy="1980952"/>
        </a:xfrm>
        <a:prstGeom prst="rect">
          <a:avLst/>
        </a:prstGeom>
      </xdr:spPr>
    </xdr:pic>
    <xdr:clientData/>
  </xdr:twoCellAnchor>
  <xdr:twoCellAnchor editAs="oneCell">
    <xdr:from>
      <xdr:col>2</xdr:col>
      <xdr:colOff>0</xdr:colOff>
      <xdr:row>65</xdr:row>
      <xdr:rowOff>0</xdr:rowOff>
    </xdr:from>
    <xdr:to>
      <xdr:col>2</xdr:col>
      <xdr:colOff>304800</xdr:colOff>
      <xdr:row>66</xdr:row>
      <xdr:rowOff>142875</xdr:rowOff>
    </xdr:to>
    <xdr:sp macro="" textlink="">
      <xdr:nvSpPr>
        <xdr:cNvPr id="28675" name="AutoShape 3">
          <a:extLst>
            <a:ext uri="{FF2B5EF4-FFF2-40B4-BE49-F238E27FC236}">
              <a16:creationId xmlns:a16="http://schemas.microsoft.com/office/drawing/2014/main" id="{A1840B8E-E9BB-47CA-39D6-AE0E4ABA930C}"/>
            </a:ext>
          </a:extLst>
        </xdr:cNvPr>
        <xdr:cNvSpPr>
          <a:spLocks noChangeAspect="1" noChangeArrowheads="1"/>
        </xdr:cNvSpPr>
      </xdr:nvSpPr>
      <xdr:spPr bwMode="auto">
        <a:xfrm>
          <a:off x="1219200" y="114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64</xdr:row>
      <xdr:rowOff>0</xdr:rowOff>
    </xdr:from>
    <xdr:to>
      <xdr:col>6</xdr:col>
      <xdr:colOff>304800</xdr:colOff>
      <xdr:row>65</xdr:row>
      <xdr:rowOff>142875</xdr:rowOff>
    </xdr:to>
    <xdr:sp macro="" textlink="">
      <xdr:nvSpPr>
        <xdr:cNvPr id="28676" name="AutoShape 4">
          <a:extLst>
            <a:ext uri="{FF2B5EF4-FFF2-40B4-BE49-F238E27FC236}">
              <a16:creationId xmlns:a16="http://schemas.microsoft.com/office/drawing/2014/main" id="{E3E78DFC-DE9F-D15A-368D-C20C8B22D442}"/>
            </a:ext>
          </a:extLst>
        </xdr:cNvPr>
        <xdr:cNvSpPr>
          <a:spLocks noChangeAspect="1" noChangeArrowheads="1"/>
        </xdr:cNvSpPr>
      </xdr:nvSpPr>
      <xdr:spPr bwMode="auto">
        <a:xfrm>
          <a:off x="36576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64</xdr:row>
      <xdr:rowOff>0</xdr:rowOff>
    </xdr:from>
    <xdr:to>
      <xdr:col>6</xdr:col>
      <xdr:colOff>304800</xdr:colOff>
      <xdr:row>65</xdr:row>
      <xdr:rowOff>142875</xdr:rowOff>
    </xdr:to>
    <xdr:sp macro="" textlink="">
      <xdr:nvSpPr>
        <xdr:cNvPr id="28677" name="AutoShape 5">
          <a:extLst>
            <a:ext uri="{FF2B5EF4-FFF2-40B4-BE49-F238E27FC236}">
              <a16:creationId xmlns:a16="http://schemas.microsoft.com/office/drawing/2014/main" id="{B90BF9B9-B1EA-D654-75E5-940550FD5192}"/>
            </a:ext>
          </a:extLst>
        </xdr:cNvPr>
        <xdr:cNvSpPr>
          <a:spLocks noChangeAspect="1" noChangeArrowheads="1"/>
        </xdr:cNvSpPr>
      </xdr:nvSpPr>
      <xdr:spPr bwMode="auto">
        <a:xfrm>
          <a:off x="36576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592002</xdr:colOff>
      <xdr:row>64</xdr:row>
      <xdr:rowOff>35718</xdr:rowOff>
    </xdr:from>
    <xdr:to>
      <xdr:col>11</xdr:col>
      <xdr:colOff>178594</xdr:colOff>
      <xdr:row>95</xdr:row>
      <xdr:rowOff>160135</xdr:rowOff>
    </xdr:to>
    <xdr:pic>
      <xdr:nvPicPr>
        <xdr:cNvPr id="4" name="Picture 3" descr="Figure 1.">
          <a:extLst>
            <a:ext uri="{FF2B5EF4-FFF2-40B4-BE49-F238E27FC236}">
              <a16:creationId xmlns:a16="http://schemas.microsoft.com/office/drawing/2014/main" id="{2A2C0A8C-B793-D92D-2E04-5AEF96F426B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99221" y="11644312"/>
          <a:ext cx="5658779" cy="5291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24</xdr:col>
      <xdr:colOff>0</xdr:colOff>
      <xdr:row>24</xdr:row>
      <xdr:rowOff>0</xdr:rowOff>
    </xdr:from>
    <xdr:ext cx="12704762" cy="7142857"/>
    <xdr:pic>
      <xdr:nvPicPr>
        <xdr:cNvPr id="2" name="Picture 1">
          <a:extLst>
            <a:ext uri="{FF2B5EF4-FFF2-40B4-BE49-F238E27FC236}">
              <a16:creationId xmlns:a16="http://schemas.microsoft.com/office/drawing/2014/main" id="{36822DDE-47C5-41DB-A2CE-FD9E0DA2F0A4}"/>
            </a:ext>
          </a:extLst>
        </xdr:cNvPr>
        <xdr:cNvPicPr>
          <a:picLocks noChangeAspect="1"/>
        </xdr:cNvPicPr>
      </xdr:nvPicPr>
      <xdr:blipFill>
        <a:blip xmlns:r="http://schemas.openxmlformats.org/officeDocument/2006/relationships" r:embed="rId1"/>
        <a:stretch>
          <a:fillRect/>
        </a:stretch>
      </xdr:blipFill>
      <xdr:spPr>
        <a:xfrm>
          <a:off x="14630400" y="3886200"/>
          <a:ext cx="12704762" cy="7142857"/>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14</xdr:col>
      <xdr:colOff>222249</xdr:colOff>
      <xdr:row>1</xdr:row>
      <xdr:rowOff>52916</xdr:rowOff>
    </xdr:from>
    <xdr:ext cx="6371425" cy="2514286"/>
    <xdr:pic>
      <xdr:nvPicPr>
        <xdr:cNvPr id="2" name="Picture 1">
          <a:extLst>
            <a:ext uri="{FF2B5EF4-FFF2-40B4-BE49-F238E27FC236}">
              <a16:creationId xmlns:a16="http://schemas.microsoft.com/office/drawing/2014/main" id="{3B3458FE-EBCF-4B3C-8C54-8C7AC10529DC}"/>
            </a:ext>
          </a:extLst>
        </xdr:cNvPr>
        <xdr:cNvPicPr>
          <a:picLocks noChangeAspect="1"/>
        </xdr:cNvPicPr>
      </xdr:nvPicPr>
      <xdr:blipFill>
        <a:blip xmlns:r="http://schemas.openxmlformats.org/officeDocument/2006/relationships" r:embed="rId1"/>
        <a:stretch>
          <a:fillRect/>
        </a:stretch>
      </xdr:blipFill>
      <xdr:spPr>
        <a:xfrm>
          <a:off x="8756649" y="214841"/>
          <a:ext cx="6371425" cy="2514286"/>
        </a:xfrm>
        <a:prstGeom prst="rect">
          <a:avLst/>
        </a:prstGeom>
      </xdr:spPr>
    </xdr:pic>
    <xdr:clientData/>
  </xdr:oneCellAnchor>
  <xdr:oneCellAnchor>
    <xdr:from>
      <xdr:col>14</xdr:col>
      <xdr:colOff>254000</xdr:colOff>
      <xdr:row>14</xdr:row>
      <xdr:rowOff>169334</xdr:rowOff>
    </xdr:from>
    <xdr:ext cx="6399996" cy="1980952"/>
    <xdr:pic>
      <xdr:nvPicPr>
        <xdr:cNvPr id="3" name="Picture 2">
          <a:extLst>
            <a:ext uri="{FF2B5EF4-FFF2-40B4-BE49-F238E27FC236}">
              <a16:creationId xmlns:a16="http://schemas.microsoft.com/office/drawing/2014/main" id="{3508F9FE-EF1D-4D1D-A5C9-2612C18D2DED}"/>
            </a:ext>
          </a:extLst>
        </xdr:cNvPr>
        <xdr:cNvPicPr>
          <a:picLocks noChangeAspect="1"/>
        </xdr:cNvPicPr>
      </xdr:nvPicPr>
      <xdr:blipFill>
        <a:blip xmlns:r="http://schemas.openxmlformats.org/officeDocument/2006/relationships" r:embed="rId2"/>
        <a:stretch>
          <a:fillRect/>
        </a:stretch>
      </xdr:blipFill>
      <xdr:spPr>
        <a:xfrm>
          <a:off x="8788400" y="2426759"/>
          <a:ext cx="6399996" cy="1980952"/>
        </a:xfrm>
        <a:prstGeom prst="rect">
          <a:avLst/>
        </a:prstGeom>
      </xdr:spPr>
    </xdr:pic>
    <xdr:clientData/>
  </xdr:oneCellAnchor>
  <xdr:oneCellAnchor>
    <xdr:from>
      <xdr:col>14</xdr:col>
      <xdr:colOff>222249</xdr:colOff>
      <xdr:row>25</xdr:row>
      <xdr:rowOff>148167</xdr:rowOff>
    </xdr:from>
    <xdr:ext cx="6342854" cy="1819048"/>
    <xdr:pic>
      <xdr:nvPicPr>
        <xdr:cNvPr id="4" name="Picture 3">
          <a:extLst>
            <a:ext uri="{FF2B5EF4-FFF2-40B4-BE49-F238E27FC236}">
              <a16:creationId xmlns:a16="http://schemas.microsoft.com/office/drawing/2014/main" id="{B15CF942-CBFD-403A-BF84-83085D51B153}"/>
            </a:ext>
          </a:extLst>
        </xdr:cNvPr>
        <xdr:cNvPicPr>
          <a:picLocks noChangeAspect="1"/>
        </xdr:cNvPicPr>
      </xdr:nvPicPr>
      <xdr:blipFill>
        <a:blip xmlns:r="http://schemas.openxmlformats.org/officeDocument/2006/relationships" r:embed="rId3"/>
        <a:stretch>
          <a:fillRect/>
        </a:stretch>
      </xdr:blipFill>
      <xdr:spPr>
        <a:xfrm>
          <a:off x="8756649" y="4196292"/>
          <a:ext cx="6342854" cy="1819048"/>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22</xdr:col>
      <xdr:colOff>885825</xdr:colOff>
      <xdr:row>101</xdr:row>
      <xdr:rowOff>84667</xdr:rowOff>
    </xdr:from>
    <xdr:ext cx="11371792" cy="7991475"/>
    <xdr:pic>
      <xdr:nvPicPr>
        <xdr:cNvPr id="2" name="Picture 1">
          <a:extLst>
            <a:ext uri="{FF2B5EF4-FFF2-40B4-BE49-F238E27FC236}">
              <a16:creationId xmlns:a16="http://schemas.microsoft.com/office/drawing/2014/main" id="{35E1F3C6-564F-48EF-B2BB-A5E97BA6EE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92775" y="20277667"/>
          <a:ext cx="11371792" cy="79914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361950</xdr:colOff>
      <xdr:row>43</xdr:row>
      <xdr:rowOff>47625</xdr:rowOff>
    </xdr:from>
    <xdr:ext cx="2466975" cy="2857500"/>
    <xdr:pic>
      <xdr:nvPicPr>
        <xdr:cNvPr id="3" name="Picture 2">
          <a:extLst>
            <a:ext uri="{FF2B5EF4-FFF2-40B4-BE49-F238E27FC236}">
              <a16:creationId xmlns:a16="http://schemas.microsoft.com/office/drawing/2014/main" id="{792F49BD-8E89-4F1A-8371-A17DFC91E4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507700" y="9001125"/>
          <a:ext cx="2466975"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31</xdr:row>
      <xdr:rowOff>0</xdr:rowOff>
    </xdr:from>
    <xdr:ext cx="304800" cy="304800"/>
    <xdr:sp macro="" textlink="">
      <xdr:nvSpPr>
        <xdr:cNvPr id="4" name="AutoShape 3" descr="image.png">
          <a:extLst>
            <a:ext uri="{FF2B5EF4-FFF2-40B4-BE49-F238E27FC236}">
              <a16:creationId xmlns:a16="http://schemas.microsoft.com/office/drawing/2014/main" id="{E81EC1FD-BF27-48EC-85B7-06F9B0AE730D}"/>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31</xdr:row>
      <xdr:rowOff>0</xdr:rowOff>
    </xdr:from>
    <xdr:ext cx="304800" cy="304800"/>
    <xdr:sp macro="" textlink="">
      <xdr:nvSpPr>
        <xdr:cNvPr id="5" name="AutoShape 4" descr="image.png">
          <a:extLst>
            <a:ext uri="{FF2B5EF4-FFF2-40B4-BE49-F238E27FC236}">
              <a16:creationId xmlns:a16="http://schemas.microsoft.com/office/drawing/2014/main" id="{41307B54-56B9-4236-AB5C-C43373EE609D}"/>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32</xdr:row>
      <xdr:rowOff>0</xdr:rowOff>
    </xdr:from>
    <xdr:ext cx="304800" cy="304800"/>
    <xdr:sp macro="" textlink="">
      <xdr:nvSpPr>
        <xdr:cNvPr id="6" name="AutoShape 5" descr="image.png">
          <a:extLst>
            <a:ext uri="{FF2B5EF4-FFF2-40B4-BE49-F238E27FC236}">
              <a16:creationId xmlns:a16="http://schemas.microsoft.com/office/drawing/2014/main" id="{914D9F89-253B-40EA-B9CC-705B2E605D77}"/>
            </a:ext>
          </a:extLst>
        </xdr:cNvPr>
        <xdr:cNvSpPr>
          <a:spLocks noChangeAspect="1" noChangeArrowheads="1"/>
        </xdr:cNvSpPr>
      </xdr:nvSpPr>
      <xdr:spPr bwMode="auto">
        <a:xfrm>
          <a:off x="3657600" y="599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622299</xdr:colOff>
      <xdr:row>30</xdr:row>
      <xdr:rowOff>169334</xdr:rowOff>
    </xdr:from>
    <xdr:ext cx="4652434" cy="1528233"/>
    <xdr:pic>
      <xdr:nvPicPr>
        <xdr:cNvPr id="7" name="Picture 6">
          <a:extLst>
            <a:ext uri="{FF2B5EF4-FFF2-40B4-BE49-F238E27FC236}">
              <a16:creationId xmlns:a16="http://schemas.microsoft.com/office/drawing/2014/main" id="{5C508DE9-AD13-4411-9AD6-C13FB1BB8FE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79974" y="5827184"/>
          <a:ext cx="4652434" cy="1528233"/>
        </a:xfrm>
        <a:prstGeom prst="rect">
          <a:avLst/>
        </a:prstGeom>
      </xdr:spPr>
    </xdr:pic>
    <xdr:clientData/>
  </xdr:oneCellAnchor>
  <xdr:oneCellAnchor>
    <xdr:from>
      <xdr:col>7</xdr:col>
      <xdr:colOff>114300</xdr:colOff>
      <xdr:row>68</xdr:row>
      <xdr:rowOff>152400</xdr:rowOff>
    </xdr:from>
    <xdr:ext cx="7277251" cy="1714286"/>
    <xdr:pic>
      <xdr:nvPicPr>
        <xdr:cNvPr id="8" name="Picture 7">
          <a:extLst>
            <a:ext uri="{FF2B5EF4-FFF2-40B4-BE49-F238E27FC236}">
              <a16:creationId xmlns:a16="http://schemas.microsoft.com/office/drawing/2014/main" id="{84BE81B5-FEAD-4CA4-B60B-95E5C6008F17}"/>
            </a:ext>
          </a:extLst>
        </xdr:cNvPr>
        <xdr:cNvPicPr>
          <a:picLocks noChangeAspect="1"/>
        </xdr:cNvPicPr>
      </xdr:nvPicPr>
      <xdr:blipFill>
        <a:blip xmlns:r="http://schemas.openxmlformats.org/officeDocument/2006/relationships" r:embed="rId4"/>
        <a:stretch>
          <a:fillRect/>
        </a:stretch>
      </xdr:blipFill>
      <xdr:spPr>
        <a:xfrm>
          <a:off x="4381500" y="11811000"/>
          <a:ext cx="7277251" cy="1714286"/>
        </a:xfrm>
        <a:prstGeom prst="rect">
          <a:avLst/>
        </a:prstGeom>
      </xdr:spPr>
    </xdr:pic>
    <xdr:clientData/>
  </xdr:oneCellAnchor>
  <xdr:oneCellAnchor>
    <xdr:from>
      <xdr:col>11</xdr:col>
      <xdr:colOff>0</xdr:colOff>
      <xdr:row>77</xdr:row>
      <xdr:rowOff>0</xdr:rowOff>
    </xdr:from>
    <xdr:ext cx="3712171" cy="1238095"/>
    <xdr:pic>
      <xdr:nvPicPr>
        <xdr:cNvPr id="9" name="Picture 8">
          <a:extLst>
            <a:ext uri="{FF2B5EF4-FFF2-40B4-BE49-F238E27FC236}">
              <a16:creationId xmlns:a16="http://schemas.microsoft.com/office/drawing/2014/main" id="{036B0B39-B2A8-4239-9AFC-ABB26DEB5B7A}"/>
            </a:ext>
          </a:extLst>
        </xdr:cNvPr>
        <xdr:cNvPicPr>
          <a:picLocks noChangeAspect="1"/>
        </xdr:cNvPicPr>
      </xdr:nvPicPr>
      <xdr:blipFill>
        <a:blip xmlns:r="http://schemas.openxmlformats.org/officeDocument/2006/relationships" r:embed="rId5"/>
        <a:stretch>
          <a:fillRect/>
        </a:stretch>
      </xdr:blipFill>
      <xdr:spPr>
        <a:xfrm>
          <a:off x="6705600" y="13115925"/>
          <a:ext cx="3712171" cy="1238095"/>
        </a:xfrm>
        <a:prstGeom prst="rect">
          <a:avLst/>
        </a:prstGeom>
      </xdr:spPr>
    </xdr:pic>
    <xdr:clientData/>
  </xdr:oneCellAnchor>
  <xdr:oneCellAnchor>
    <xdr:from>
      <xdr:col>10</xdr:col>
      <xdr:colOff>400050</xdr:colOff>
      <xdr:row>85</xdr:row>
      <xdr:rowOff>161925</xdr:rowOff>
    </xdr:from>
    <xdr:ext cx="3607410" cy="895238"/>
    <xdr:pic>
      <xdr:nvPicPr>
        <xdr:cNvPr id="10" name="Picture 9">
          <a:extLst>
            <a:ext uri="{FF2B5EF4-FFF2-40B4-BE49-F238E27FC236}">
              <a16:creationId xmlns:a16="http://schemas.microsoft.com/office/drawing/2014/main" id="{C68556CF-165F-43A6-9C79-9363A2936FDA}"/>
            </a:ext>
          </a:extLst>
        </xdr:cNvPr>
        <xdr:cNvPicPr>
          <a:picLocks noChangeAspect="1"/>
        </xdr:cNvPicPr>
      </xdr:nvPicPr>
      <xdr:blipFill>
        <a:blip xmlns:r="http://schemas.openxmlformats.org/officeDocument/2006/relationships" r:embed="rId6"/>
        <a:stretch>
          <a:fillRect/>
        </a:stretch>
      </xdr:blipFill>
      <xdr:spPr>
        <a:xfrm>
          <a:off x="6496050" y="14573250"/>
          <a:ext cx="3607410" cy="895238"/>
        </a:xfrm>
        <a:prstGeom prst="rect">
          <a:avLst/>
        </a:prstGeom>
      </xdr:spPr>
    </xdr:pic>
    <xdr:clientData/>
  </xdr:oneCellAnchor>
  <xdr:oneCellAnchor>
    <xdr:from>
      <xdr:col>21</xdr:col>
      <xdr:colOff>142875</xdr:colOff>
      <xdr:row>81</xdr:row>
      <xdr:rowOff>161925</xdr:rowOff>
    </xdr:from>
    <xdr:ext cx="5732450" cy="3476625"/>
    <xdr:pic>
      <xdr:nvPicPr>
        <xdr:cNvPr id="11" name="Picture 10" descr="Image result for eskom employees in 2012">
          <a:extLst>
            <a:ext uri="{FF2B5EF4-FFF2-40B4-BE49-F238E27FC236}">
              <a16:creationId xmlns:a16="http://schemas.microsoft.com/office/drawing/2014/main" id="{F1EE3DF5-8124-4FBF-B8DD-8A021CFB35B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878300" y="16544925"/>
          <a:ext cx="5732450" cy="34766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190500</xdr:colOff>
      <xdr:row>104</xdr:row>
      <xdr:rowOff>85725</xdr:rowOff>
    </xdr:from>
    <xdr:ext cx="11021483" cy="2962275"/>
    <xdr:pic>
      <xdr:nvPicPr>
        <xdr:cNvPr id="12" name="Picture 11">
          <a:extLst>
            <a:ext uri="{FF2B5EF4-FFF2-40B4-BE49-F238E27FC236}">
              <a16:creationId xmlns:a16="http://schemas.microsoft.com/office/drawing/2014/main" id="{937FB8E3-0D33-4AC1-A1C2-D5A6D0A7A3D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67300" y="17573625"/>
          <a:ext cx="11021483" cy="2962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495299</xdr:colOff>
      <xdr:row>100</xdr:row>
      <xdr:rowOff>185736</xdr:rowOff>
    </xdr:from>
    <xdr:to>
      <xdr:col>6</xdr:col>
      <xdr:colOff>676274</xdr:colOff>
      <xdr:row>118</xdr:row>
      <xdr:rowOff>57149</xdr:rowOff>
    </xdr:to>
    <xdr:graphicFrame macro="">
      <xdr:nvGraphicFramePr>
        <xdr:cNvPr id="13" name="Chart 12">
          <a:extLst>
            <a:ext uri="{FF2B5EF4-FFF2-40B4-BE49-F238E27FC236}">
              <a16:creationId xmlns:a16="http://schemas.microsoft.com/office/drawing/2014/main" id="{E95B8E28-100D-4C0B-995E-02753548B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714375</xdr:colOff>
      <xdr:row>101</xdr:row>
      <xdr:rowOff>19050</xdr:rowOff>
    </xdr:from>
    <xdr:to>
      <xdr:col>12</xdr:col>
      <xdr:colOff>381000</xdr:colOff>
      <xdr:row>118</xdr:row>
      <xdr:rowOff>80963</xdr:rowOff>
    </xdr:to>
    <xdr:graphicFrame macro="">
      <xdr:nvGraphicFramePr>
        <xdr:cNvPr id="14" name="Chart 13">
          <a:extLst>
            <a:ext uri="{FF2B5EF4-FFF2-40B4-BE49-F238E27FC236}">
              <a16:creationId xmlns:a16="http://schemas.microsoft.com/office/drawing/2014/main" id="{9736B40B-3BD2-4B3A-A6E0-1BE559E7E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29</xdr:col>
      <xdr:colOff>0</xdr:colOff>
      <xdr:row>64</xdr:row>
      <xdr:rowOff>0</xdr:rowOff>
    </xdr:from>
    <xdr:ext cx="8495238" cy="6295238"/>
    <xdr:pic>
      <xdr:nvPicPr>
        <xdr:cNvPr id="15" name="Picture 14">
          <a:extLst>
            <a:ext uri="{FF2B5EF4-FFF2-40B4-BE49-F238E27FC236}">
              <a16:creationId xmlns:a16="http://schemas.microsoft.com/office/drawing/2014/main" id="{C1326924-4852-4543-94AA-934803CF9694}"/>
            </a:ext>
          </a:extLst>
        </xdr:cNvPr>
        <xdr:cNvPicPr>
          <a:picLocks noChangeAspect="1"/>
        </xdr:cNvPicPr>
      </xdr:nvPicPr>
      <xdr:blipFill>
        <a:blip xmlns:r="http://schemas.openxmlformats.org/officeDocument/2006/relationships" r:embed="rId11"/>
        <a:stretch>
          <a:fillRect/>
        </a:stretch>
      </xdr:blipFill>
      <xdr:spPr>
        <a:xfrm>
          <a:off x="18288000" y="11010900"/>
          <a:ext cx="8495238" cy="6295238"/>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Data/Calibration%20Project%202014/SASAM%202019%20with%202017%20SASUT%20(2020%20release),%202019%20NA,%202018&amp;19%20LMD%20and%202015%20LCS%20Data/Data/QLFS%20Trends%202008-2020Q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user/Downloads/BP%202013%20Energy%20Review.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0work\2002\Production%20Plans\2002%20BUDGET%20PRODUCTION%20PLAN%20REV.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uctcloud-my.sharepoint.com/Users/01433536/Google%20Drive/SATIM/Model%20Files/DMD_PRJ%20-%20Copy.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0work\2000%20Production%20Plan\budget%202000%20calculation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0work\2000%20Production%20Plan\Production%20Plans\1999%20Production%20Plan\1999%20Production%20Plan\1999%20Production%20Plan%20Rev.1%20Ja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lena%20Broughton/AppData/Local/Microsoft/Windows/INetCache/Content.Outlook/42HB859U/Primary%20data%20gathering%20database%20ver%202_13_Ma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uctcloud-my.sharepoint.com/private/tmp/SATIM/TCH_SUP2.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0work\2003\Incentive%20scheme\GENKWO%20Final.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uctcloud-my.sharepoint.com/AnswerTIMESv6/Answer_Databases/WB/SATIM_20140819runs-copy/TCH_PWR-WAT.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0work\2001\PLANS\New%20PP%20Draft%20Rev.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ocuments%20and%20Settings\ndivhuwog.000\Desktop\Malerato.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CGE/1model.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1\MakwasMM\LOCALS~1\Temp\XPgrpwise\Energy%20Wheel%20Diagram%202010-2011%2002FEB.xls" TargetMode="External"/></Relationships>
</file>

<file path=xl/externalLinks/_rels/externalLink16.xml.rels><?xml version="1.0" encoding="UTF-8" standalone="yes"?>
<Relationships xmlns="http://schemas.openxmlformats.org/package/2006/relationships"><Relationship Id="rId2" Type="http://schemas.openxmlformats.org/officeDocument/2006/relationships/externalLinkPath" Target="file:///D:\ERC\Imagine\SAREM%20data%20adjusted%20for%20localisation.xlsx" TargetMode="External"/><Relationship Id="rId1" Type="http://schemas.openxmlformats.org/officeDocument/2006/relationships/externalLinkPath" Target="file:///D:\ERC\Imagine\SAREM%20data%20adjusted%20for%20localisation.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Elena%20Broughton/AppData/Local/Microsoft/Windows/INetCache/Content.Outlook/42HB859U/Cost%20estimation_updated%20wind%20%20Li-ion.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Models/SATIMGE/SATIM/DataSpreadsheets/TCH_PWR.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1"/>
      <sheetName val="Table 2"/>
      <sheetName val="Table2.1"/>
      <sheetName val="Table2.2"/>
      <sheetName val="Table 2.3"/>
      <sheetName val="Table 2.4"/>
      <sheetName val="Table 2.5"/>
      <sheetName val="Table 2.6"/>
      <sheetName val="Table 2.7"/>
      <sheetName val="Table3.1"/>
      <sheetName val="Table3.2"/>
      <sheetName val="Table3.3"/>
      <sheetName val="Table3.4"/>
      <sheetName val="Table3.5"/>
      <sheetName val="Table3.6"/>
      <sheetName val="Table3.7"/>
      <sheetName val="Table3.8a"/>
      <sheetName val="Table3.8b"/>
      <sheetName val="Table3.8c"/>
      <sheetName val="Table3.9"/>
      <sheetName val="Table4"/>
      <sheetName val="Table5"/>
      <sheetName val="Table6"/>
      <sheetName val="Table 7"/>
      <sheetName val="Table8"/>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refreshError="1"/>
      <sheetData sheetId="13" refreshError="1"/>
      <sheetData sheetId="14"/>
      <sheetData sheetId="15"/>
      <sheetData sheetId="16"/>
      <sheetData sheetId="17"/>
      <sheetData sheetId="18"/>
      <sheetData sheetId="19" refreshError="1"/>
      <sheetData sheetId="20"/>
      <sheetData sheetId="21" refreshError="1"/>
      <sheetData sheetId="22"/>
      <sheetData sheetId="23" refreshError="1"/>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il Consumption – barrels"/>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
      <sheetName val="CV"/>
      <sheetName val="HEAT RATE"/>
      <sheetName val="Burn Rate"/>
      <sheetName val="COAL BURN"/>
      <sheetName val="NET DELIVERY"/>
      <sheetName val="MINE DELIVERY"/>
      <sheetName val="COAL MOVEMENTS"/>
      <sheetName val="SP DAYS"/>
      <sheetName val="SP TONS"/>
      <sheetName val="DELIVERY_2002"/>
      <sheetName val="STD DAILY BURN"/>
      <sheetName val="EUF"/>
      <sheetName val="EAF"/>
      <sheetName val="UCF"/>
      <sheetName val="PCLF"/>
      <sheetName val="UCLF"/>
      <sheetName val="OCLF"/>
      <sheetName val="CAPACITY"/>
      <sheetName val="CF"/>
      <sheetName val="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rn"/>
      <sheetName val="Burn Rates"/>
      <sheetName val="Assumptions"/>
      <sheetName val="PLAN"/>
      <sheetName val="SUMREP"/>
      <sheetName val="2004 projection"/>
    </sheetNames>
    <sheetDataSet>
      <sheetData sheetId="0" refreshError="1">
        <row r="1">
          <cell r="AB1" t="str">
            <v>Appendix D</v>
          </cell>
        </row>
        <row r="2">
          <cell r="B2" t="str">
            <v>Budget 2000 Workshop Exercise</v>
          </cell>
          <cell r="AC2" t="str">
            <v>Burn Cost per Station for 2000</v>
          </cell>
        </row>
        <row r="3">
          <cell r="C3" t="str">
            <v>Coal To Station</v>
          </cell>
          <cell r="E3" t="str">
            <v>Stock Levels</v>
          </cell>
          <cell r="G3" t="str">
            <v>Total Coal</v>
          </cell>
          <cell r="I3" t="str">
            <v>Stock Needed</v>
          </cell>
          <cell r="K3" t="str">
            <v>Coal Available For Burn</v>
          </cell>
          <cell r="M3" t="str">
            <v>Planned Burn</v>
          </cell>
          <cell r="O3" t="str">
            <v>Final Stock</v>
          </cell>
          <cell r="Q3" t="str">
            <v>Excess Stock</v>
          </cell>
          <cell r="S3" t="str">
            <v>Load</v>
          </cell>
          <cell r="T3" t="str">
            <v>Burn</v>
          </cell>
          <cell r="U3" t="str">
            <v>Total</v>
          </cell>
        </row>
        <row r="4">
          <cell r="B4" t="str">
            <v>Station</v>
          </cell>
          <cell r="C4" t="str">
            <v>Tons</v>
          </cell>
          <cell r="D4" t="str">
            <v xml:space="preserve">Energy </v>
          </cell>
          <cell r="E4" t="str">
            <v>Tons</v>
          </cell>
          <cell r="F4" t="str">
            <v>Energy</v>
          </cell>
          <cell r="G4" t="str">
            <v>Tons</v>
          </cell>
          <cell r="H4" t="str">
            <v>Energy</v>
          </cell>
          <cell r="I4" t="str">
            <v>Tons</v>
          </cell>
          <cell r="J4" t="str">
            <v>Energy</v>
          </cell>
          <cell r="K4" t="str">
            <v>Tons</v>
          </cell>
          <cell r="L4" t="str">
            <v>Energy</v>
          </cell>
          <cell r="M4" t="str">
            <v>Tons</v>
          </cell>
          <cell r="N4" t="str">
            <v>Energy</v>
          </cell>
          <cell r="O4" t="str">
            <v>Tons</v>
          </cell>
          <cell r="P4" t="str">
            <v>Days</v>
          </cell>
          <cell r="Q4" t="str">
            <v>Tons</v>
          </cell>
          <cell r="R4" t="str">
            <v>Days</v>
          </cell>
          <cell r="S4" t="str">
            <v>Factor</v>
          </cell>
          <cell r="T4" t="str">
            <v>Cost</v>
          </cell>
          <cell r="U4" t="str">
            <v>Cost</v>
          </cell>
        </row>
        <row r="5">
          <cell r="C5" t="str">
            <v>(kT)</v>
          </cell>
          <cell r="D5" t="str">
            <v>(GWh)</v>
          </cell>
          <cell r="E5" t="str">
            <v>(kT)</v>
          </cell>
          <cell r="F5" t="str">
            <v>(GWh)</v>
          </cell>
          <cell r="G5" t="str">
            <v>(kT)</v>
          </cell>
          <cell r="H5" t="str">
            <v>(GWh)</v>
          </cell>
          <cell r="I5" t="str">
            <v>(kT)</v>
          </cell>
          <cell r="J5" t="str">
            <v>(GWh)</v>
          </cell>
          <cell r="K5" t="str">
            <v>(kT)</v>
          </cell>
          <cell r="L5" t="str">
            <v>(GWh)</v>
          </cell>
          <cell r="M5" t="str">
            <v>(kT)</v>
          </cell>
          <cell r="N5" t="str">
            <v>(GWh)</v>
          </cell>
          <cell r="O5" t="str">
            <v>(kT)</v>
          </cell>
          <cell r="P5" t="str">
            <v>(GWh)</v>
          </cell>
          <cell r="Q5" t="str">
            <v>(kT)</v>
          </cell>
          <cell r="R5" t="str">
            <v>(GWh)</v>
          </cell>
          <cell r="S5" t="str">
            <v>(EUF) %</v>
          </cell>
          <cell r="T5" t="str">
            <v>R/ton</v>
          </cell>
          <cell r="U5" t="str">
            <v>Rm</v>
          </cell>
          <cell r="AB5" t="str">
            <v>Burn Cost sorted on R/ton</v>
          </cell>
        </row>
        <row r="6">
          <cell r="B6" t="str">
            <v>Arnot</v>
          </cell>
          <cell r="C6">
            <v>4300</v>
          </cell>
          <cell r="D6">
            <v>8811.4754098360663</v>
          </cell>
          <cell r="E6">
            <v>2000</v>
          </cell>
          <cell r="F6">
            <v>4098.3606557377052</v>
          </cell>
          <cell r="G6">
            <v>6300</v>
          </cell>
          <cell r="H6">
            <v>12909.836065573771</v>
          </cell>
          <cell r="I6">
            <v>375.67411199999992</v>
          </cell>
          <cell r="J6">
            <v>769.82399999999984</v>
          </cell>
          <cell r="K6">
            <v>5924.3258880000003</v>
          </cell>
          <cell r="L6">
            <v>12140.012065573772</v>
          </cell>
          <cell r="M6">
            <v>4500</v>
          </cell>
          <cell r="N6">
            <v>9221.3114754098369</v>
          </cell>
          <cell r="O6">
            <v>1800</v>
          </cell>
          <cell r="P6">
            <v>95.82773699349292</v>
          </cell>
          <cell r="Q6">
            <v>1424.3258880000001</v>
          </cell>
          <cell r="R6">
            <v>75.827736993492934</v>
          </cell>
          <cell r="S6">
            <v>57.830982382241622</v>
          </cell>
          <cell r="T6">
            <v>59.9</v>
          </cell>
          <cell r="U6">
            <v>269.55</v>
          </cell>
          <cell r="AC6" t="str">
            <v>R/ton</v>
          </cell>
          <cell r="AD6" t="str">
            <v>R/MWh</v>
          </cell>
        </row>
        <row r="7">
          <cell r="B7" t="str">
            <v>Duvha</v>
          </cell>
          <cell r="C7">
            <v>9965</v>
          </cell>
          <cell r="D7">
            <v>21112.288135593222</v>
          </cell>
          <cell r="E7">
            <v>1350</v>
          </cell>
          <cell r="F7">
            <v>2860.1694915254238</v>
          </cell>
          <cell r="G7">
            <v>11315</v>
          </cell>
          <cell r="H7">
            <v>23972.457627118645</v>
          </cell>
          <cell r="I7">
            <v>633.12191999999993</v>
          </cell>
          <cell r="J7">
            <v>1341.36</v>
          </cell>
          <cell r="K7">
            <v>10681.87808</v>
          </cell>
          <cell r="L7">
            <v>22631.097627118645</v>
          </cell>
          <cell r="M7">
            <v>10000</v>
          </cell>
          <cell r="N7">
            <v>21186.440677966104</v>
          </cell>
          <cell r="O7">
            <v>1315</v>
          </cell>
          <cell r="P7">
            <v>41.540182339603724</v>
          </cell>
          <cell r="Q7">
            <v>681.87808000000007</v>
          </cell>
          <cell r="R7">
            <v>21.540182339603724</v>
          </cell>
          <cell r="S7">
            <v>77.369600957145778</v>
          </cell>
          <cell r="T7">
            <v>44.03</v>
          </cell>
          <cell r="U7">
            <v>440.3</v>
          </cell>
          <cell r="AB7" t="str">
            <v>Lethabo</v>
          </cell>
          <cell r="AC7">
            <v>31.67</v>
          </cell>
          <cell r="AD7">
            <v>21.542351765489677</v>
          </cell>
        </row>
        <row r="8">
          <cell r="B8" t="str">
            <v>Hendrina</v>
          </cell>
          <cell r="C8">
            <v>6500</v>
          </cell>
          <cell r="D8">
            <v>12820.51282051282</v>
          </cell>
          <cell r="E8">
            <v>1000</v>
          </cell>
          <cell r="F8">
            <v>1972.386587771203</v>
          </cell>
          <cell r="G8">
            <v>7500</v>
          </cell>
          <cell r="H8">
            <v>14792.899408284024</v>
          </cell>
          <cell r="I8">
            <v>374.53103999999996</v>
          </cell>
          <cell r="J8">
            <v>738.71999999999991</v>
          </cell>
          <cell r="K8">
            <v>7125.4689600000002</v>
          </cell>
          <cell r="L8">
            <v>14054.179408284024</v>
          </cell>
          <cell r="M8">
            <v>6550</v>
          </cell>
          <cell r="N8">
            <v>12919.132149901381</v>
          </cell>
          <cell r="O8">
            <v>950</v>
          </cell>
          <cell r="P8">
            <v>50.730107710164695</v>
          </cell>
          <cell r="Q8">
            <v>575.46896000000004</v>
          </cell>
          <cell r="R8">
            <v>30.730107710164695</v>
          </cell>
          <cell r="S8">
            <v>86.127154658232755</v>
          </cell>
          <cell r="T8">
            <v>34.68</v>
          </cell>
          <cell r="U8">
            <v>227.154</v>
          </cell>
          <cell r="AB8" t="str">
            <v>Hendrina</v>
          </cell>
          <cell r="AC8">
            <v>34.68</v>
          </cell>
          <cell r="AD8">
            <v>17.591304347826089</v>
          </cell>
        </row>
        <row r="9">
          <cell r="B9" t="str">
            <v>Kendal</v>
          </cell>
          <cell r="C9">
            <v>13180</v>
          </cell>
          <cell r="D9">
            <v>23451.957295373664</v>
          </cell>
          <cell r="E9">
            <v>2700</v>
          </cell>
          <cell r="F9">
            <v>4804.2704626334516</v>
          </cell>
          <cell r="G9">
            <v>15880</v>
          </cell>
          <cell r="H9">
            <v>28256.227758007117</v>
          </cell>
          <cell r="I9">
            <v>839.06150400000013</v>
          </cell>
          <cell r="J9">
            <v>1492.9920000000002</v>
          </cell>
          <cell r="K9">
            <v>15040.938496000001</v>
          </cell>
          <cell r="L9">
            <v>26763.235758007115</v>
          </cell>
          <cell r="M9">
            <v>14000</v>
          </cell>
          <cell r="N9">
            <v>24911.032028469748</v>
          </cell>
          <cell r="O9">
            <v>1880</v>
          </cell>
          <cell r="P9">
            <v>44.811971256877008</v>
          </cell>
          <cell r="Q9">
            <v>1040.9384959999998</v>
          </cell>
          <cell r="R9">
            <v>24.811971256877005</v>
          </cell>
          <cell r="S9">
            <v>79.715036383180149</v>
          </cell>
          <cell r="T9">
            <v>42.51</v>
          </cell>
          <cell r="U9">
            <v>595.14</v>
          </cell>
          <cell r="AB9" t="str">
            <v>Matla</v>
          </cell>
          <cell r="AC9">
            <v>40.21</v>
          </cell>
          <cell r="AD9">
            <v>20.306049999999999</v>
          </cell>
        </row>
        <row r="10">
          <cell r="B10" t="str">
            <v>Kriel</v>
          </cell>
          <cell r="C10">
            <v>6500</v>
          </cell>
          <cell r="D10">
            <v>12380.95238095238</v>
          </cell>
          <cell r="E10">
            <v>1500</v>
          </cell>
          <cell r="F10">
            <v>2857.1428571428569</v>
          </cell>
          <cell r="G10">
            <v>8000</v>
          </cell>
          <cell r="H10">
            <v>15238.095238095237</v>
          </cell>
          <cell r="I10">
            <v>581.74200000000008</v>
          </cell>
          <cell r="J10">
            <v>1108.0800000000002</v>
          </cell>
          <cell r="K10">
            <v>7418.2579999999998</v>
          </cell>
          <cell r="L10">
            <v>14130.015238095237</v>
          </cell>
          <cell r="M10">
            <v>6930</v>
          </cell>
          <cell r="N10">
            <v>13200</v>
          </cell>
          <cell r="O10">
            <v>1070</v>
          </cell>
          <cell r="P10">
            <v>36.786066675605333</v>
          </cell>
          <cell r="Q10">
            <v>488.25799999999992</v>
          </cell>
          <cell r="R10">
            <v>16.786066675605333</v>
          </cell>
          <cell r="S10">
            <v>58.521147201752825</v>
          </cell>
          <cell r="T10">
            <v>46.12</v>
          </cell>
          <cell r="U10">
            <v>319.61160000000001</v>
          </cell>
          <cell r="AB10" t="str">
            <v>Matimba</v>
          </cell>
          <cell r="AC10">
            <v>40.880000000000003</v>
          </cell>
          <cell r="AD10">
            <v>21.917953762911953</v>
          </cell>
        </row>
        <row r="11">
          <cell r="B11" t="str">
            <v>Lethabo</v>
          </cell>
          <cell r="C11">
            <v>15120</v>
          </cell>
          <cell r="D11">
            <v>22235.294117647056</v>
          </cell>
          <cell r="E11">
            <v>1700</v>
          </cell>
          <cell r="F11">
            <v>2500</v>
          </cell>
          <cell r="G11">
            <v>16820</v>
          </cell>
          <cell r="H11">
            <v>24735.294117647056</v>
          </cell>
          <cell r="I11">
            <v>940.67827200000011</v>
          </cell>
          <cell r="J11">
            <v>1383.3504</v>
          </cell>
          <cell r="K11">
            <v>15879.321727999999</v>
          </cell>
          <cell r="L11">
            <v>23351.943717647056</v>
          </cell>
          <cell r="M11">
            <v>15200</v>
          </cell>
          <cell r="N11">
            <v>22352.941176470587</v>
          </cell>
          <cell r="O11">
            <v>1620</v>
          </cell>
          <cell r="P11">
            <v>34.443232042676541</v>
          </cell>
          <cell r="Q11">
            <v>679.32172799999989</v>
          </cell>
          <cell r="R11">
            <v>14.443232042676538</v>
          </cell>
          <cell r="S11">
            <v>79.890139450470627</v>
          </cell>
          <cell r="T11">
            <v>31.67</v>
          </cell>
          <cell r="U11">
            <v>481.38400000000001</v>
          </cell>
          <cell r="AB11" t="str">
            <v>Kendal</v>
          </cell>
          <cell r="AC11">
            <v>42.51</v>
          </cell>
          <cell r="AD11">
            <v>23.895878489326766</v>
          </cell>
        </row>
        <row r="12">
          <cell r="B12" t="str">
            <v>Matimba</v>
          </cell>
          <cell r="C12">
            <v>12000</v>
          </cell>
          <cell r="D12">
            <v>23346.303501945524</v>
          </cell>
          <cell r="E12">
            <v>1200</v>
          </cell>
          <cell r="F12">
            <v>2334.6303501945526</v>
          </cell>
          <cell r="G12">
            <v>13200</v>
          </cell>
          <cell r="H12">
            <v>25680.933852140075</v>
          </cell>
          <cell r="I12">
            <v>737.42140800000004</v>
          </cell>
          <cell r="J12">
            <v>1434.672</v>
          </cell>
          <cell r="K12">
            <v>12462.578592</v>
          </cell>
          <cell r="L12">
            <v>24246.261852140076</v>
          </cell>
          <cell r="M12">
            <v>12000</v>
          </cell>
          <cell r="N12">
            <v>23346.303501945524</v>
          </cell>
          <cell r="O12">
            <v>1200</v>
          </cell>
          <cell r="P12">
            <v>32.545841142707914</v>
          </cell>
          <cell r="Q12">
            <v>462.57859199999996</v>
          </cell>
          <cell r="R12">
            <v>12.545841142707914</v>
          </cell>
          <cell r="S12">
            <v>80.444293653653929</v>
          </cell>
          <cell r="T12">
            <v>40.880000000000003</v>
          </cell>
          <cell r="U12">
            <v>490.56000000000006</v>
          </cell>
          <cell r="AB12" t="str">
            <v>Duvha</v>
          </cell>
          <cell r="AC12">
            <v>44.03</v>
          </cell>
          <cell r="AD12">
            <v>20.789712591240875</v>
          </cell>
        </row>
        <row r="13">
          <cell r="B13" t="str">
            <v>Matla</v>
          </cell>
          <cell r="C13">
            <v>12580</v>
          </cell>
          <cell r="D13">
            <v>24910.891089108911</v>
          </cell>
          <cell r="E13">
            <v>2300</v>
          </cell>
          <cell r="F13">
            <v>4554.4554455445541</v>
          </cell>
          <cell r="G13">
            <v>14880</v>
          </cell>
          <cell r="H13">
            <v>29465.346534653465</v>
          </cell>
          <cell r="I13">
            <v>677.38679999999999</v>
          </cell>
          <cell r="J13">
            <v>1341.36</v>
          </cell>
          <cell r="K13">
            <v>14202.6132</v>
          </cell>
          <cell r="L13">
            <v>28123.986534653464</v>
          </cell>
          <cell r="M13">
            <v>12780</v>
          </cell>
          <cell r="N13">
            <v>25306.930693069306</v>
          </cell>
          <cell r="O13">
            <v>2100</v>
          </cell>
          <cell r="P13">
            <v>62.002979686052342</v>
          </cell>
          <cell r="Q13">
            <v>1422.6132</v>
          </cell>
          <cell r="R13">
            <v>42.002979686052342</v>
          </cell>
          <cell r="S13">
            <v>91.014448348827528</v>
          </cell>
          <cell r="T13">
            <v>40.21</v>
          </cell>
          <cell r="U13">
            <v>513.88379999999995</v>
          </cell>
          <cell r="AB13" t="str">
            <v>Kriel</v>
          </cell>
          <cell r="AC13">
            <v>46.12</v>
          </cell>
          <cell r="AD13">
            <v>24.200899550224886</v>
          </cell>
        </row>
        <row r="14">
          <cell r="B14" t="str">
            <v>Majuba Total</v>
          </cell>
          <cell r="C14">
            <v>2440</v>
          </cell>
          <cell r="D14">
            <v>4552.2388059701489</v>
          </cell>
          <cell r="E14">
            <v>3550</v>
          </cell>
          <cell r="F14">
            <v>6623.1343283582082</v>
          </cell>
          <cell r="G14">
            <v>5990</v>
          </cell>
          <cell r="H14">
            <v>11175.373134328358</v>
          </cell>
          <cell r="I14">
            <v>661.45144319999997</v>
          </cell>
          <cell r="J14">
            <v>1234.0511999999999</v>
          </cell>
          <cell r="K14">
            <v>5328.5485568000004</v>
          </cell>
          <cell r="L14">
            <v>9941.3219343283581</v>
          </cell>
          <cell r="M14">
            <v>1500</v>
          </cell>
          <cell r="N14">
            <v>2798.5074626865671</v>
          </cell>
          <cell r="O14">
            <v>4490</v>
          </cell>
          <cell r="P14">
            <v>135.76204409738901</v>
          </cell>
          <cell r="Q14">
            <v>3828.5485567999999</v>
          </cell>
          <cell r="R14">
            <v>115.76204409738901</v>
          </cell>
          <cell r="S14">
            <v>7.0082401255896585</v>
          </cell>
          <cell r="T14">
            <v>71.27</v>
          </cell>
          <cell r="U14">
            <v>106.905</v>
          </cell>
          <cell r="AB14" t="str">
            <v>Arnot</v>
          </cell>
          <cell r="AC14">
            <v>59.9</v>
          </cell>
          <cell r="AD14">
            <v>29.22285845167201</v>
          </cell>
        </row>
        <row r="15">
          <cell r="B15" t="str">
            <v>Tutuka</v>
          </cell>
          <cell r="C15">
            <v>4200</v>
          </cell>
          <cell r="D15">
            <v>8433.7349397590369</v>
          </cell>
          <cell r="E15">
            <v>1700</v>
          </cell>
          <cell r="F15">
            <v>3413.6546184738954</v>
          </cell>
          <cell r="G15">
            <v>5900</v>
          </cell>
          <cell r="H15">
            <v>11847.389558232931</v>
          </cell>
          <cell r="I15">
            <v>679.61462400000005</v>
          </cell>
          <cell r="J15">
            <v>1364.6880000000001</v>
          </cell>
          <cell r="K15">
            <v>5220.3853760000002</v>
          </cell>
          <cell r="L15">
            <v>10482.701558232931</v>
          </cell>
          <cell r="M15">
            <v>4800</v>
          </cell>
          <cell r="N15">
            <v>9638.5542168674692</v>
          </cell>
          <cell r="O15">
            <v>1100</v>
          </cell>
          <cell r="P15">
            <v>32.371286936874391</v>
          </cell>
          <cell r="Q15">
            <v>420.38537599999995</v>
          </cell>
          <cell r="R15">
            <v>12.371286936874387</v>
          </cell>
          <cell r="S15">
            <v>34.110744834402468</v>
          </cell>
          <cell r="T15">
            <v>83.73</v>
          </cell>
          <cell r="U15">
            <v>401.904</v>
          </cell>
          <cell r="AB15" t="str">
            <v>Majuba</v>
          </cell>
          <cell r="AC15">
            <v>71.27</v>
          </cell>
          <cell r="AD15">
            <v>36.653142857142861</v>
          </cell>
        </row>
        <row r="16">
          <cell r="B16" t="str">
            <v>Total</v>
          </cell>
          <cell r="C16">
            <v>86785</v>
          </cell>
          <cell r="D16">
            <v>162055.64849669885</v>
          </cell>
          <cell r="E16">
            <v>19000</v>
          </cell>
          <cell r="F16">
            <v>36018.204797381855</v>
          </cell>
          <cell r="G16">
            <v>105785</v>
          </cell>
          <cell r="H16">
            <v>198073.85329408068</v>
          </cell>
          <cell r="I16">
            <v>6500.6831231999995</v>
          </cell>
          <cell r="J16">
            <v>12209.097600000001</v>
          </cell>
          <cell r="K16">
            <v>99284.316876800018</v>
          </cell>
          <cell r="L16">
            <v>185864.75569408067</v>
          </cell>
          <cell r="M16">
            <v>88260</v>
          </cell>
          <cell r="N16">
            <v>164881.15338278652</v>
          </cell>
          <cell r="O16">
            <v>17525</v>
          </cell>
          <cell r="P16">
            <v>53.917410425546827</v>
          </cell>
          <cell r="Q16">
            <v>11024.3168768</v>
          </cell>
          <cell r="R16">
            <v>33.917410425546827</v>
          </cell>
          <cell r="T16" t="str">
            <v>Total</v>
          </cell>
          <cell r="U16">
            <v>3846.3924000000002</v>
          </cell>
          <cell r="AB16" t="str">
            <v>Tutuka</v>
          </cell>
          <cell r="AC16">
            <v>83.73</v>
          </cell>
          <cell r="AD16">
            <v>41.721836834391794</v>
          </cell>
        </row>
        <row r="17">
          <cell r="T17" t="str">
            <v>R/ton</v>
          </cell>
          <cell r="U17">
            <v>43.58024473147519</v>
          </cell>
        </row>
        <row r="18">
          <cell r="F18">
            <v>58.455395040535791</v>
          </cell>
          <cell r="I18" t="str">
            <v>Stock Needed</v>
          </cell>
          <cell r="M18" t="str">
            <v>Energy Needed</v>
          </cell>
          <cell r="N18">
            <v>-36.153382786520524</v>
          </cell>
          <cell r="AB18" t="str">
            <v>Burn Cost sorted on R/MWh</v>
          </cell>
        </row>
        <row r="19">
          <cell r="I19">
            <v>-375.67411199999992</v>
          </cell>
          <cell r="K19" t="str">
            <v>Tons</v>
          </cell>
          <cell r="O19" t="str">
            <v>Stock Movements</v>
          </cell>
          <cell r="AC19" t="str">
            <v>R/ton</v>
          </cell>
          <cell r="AD19" t="str">
            <v>R/MWh</v>
          </cell>
        </row>
        <row r="20">
          <cell r="I20">
            <v>-375.67411199999992</v>
          </cell>
          <cell r="K20">
            <v>86785</v>
          </cell>
          <cell r="L20" t="str">
            <v>kT</v>
          </cell>
          <cell r="P20" t="str">
            <v>Start</v>
          </cell>
          <cell r="Q20" t="str">
            <v>End</v>
          </cell>
          <cell r="R20" t="str">
            <v>Change</v>
          </cell>
          <cell r="AB20" t="str">
            <v>Hendrina</v>
          </cell>
          <cell r="AC20">
            <v>34.68</v>
          </cell>
          <cell r="AD20">
            <v>17.591304347826089</v>
          </cell>
        </row>
        <row r="21">
          <cell r="I21">
            <v>-633.12191999999993</v>
          </cell>
          <cell r="K21">
            <v>99284.316876800018</v>
          </cell>
          <cell r="L21" t="str">
            <v>kT</v>
          </cell>
          <cell r="O21" t="str">
            <v>Arnot</v>
          </cell>
          <cell r="P21">
            <v>2000</v>
          </cell>
          <cell r="Q21">
            <v>1800</v>
          </cell>
          <cell r="R21">
            <v>-200</v>
          </cell>
          <cell r="AB21" t="str">
            <v>Matla</v>
          </cell>
          <cell r="AC21">
            <v>40.21</v>
          </cell>
          <cell r="AD21">
            <v>20.306049999999999</v>
          </cell>
        </row>
        <row r="22">
          <cell r="B22" t="str">
            <v>Energy Required</v>
          </cell>
          <cell r="C22">
            <v>164845</v>
          </cell>
          <cell r="D22" t="str">
            <v>GWh</v>
          </cell>
          <cell r="I22">
            <v>-374.53103999999996</v>
          </cell>
          <cell r="K22">
            <v>88884.423999999985</v>
          </cell>
          <cell r="L22" t="str">
            <v>kT</v>
          </cell>
          <cell r="O22" t="str">
            <v>Duvha</v>
          </cell>
          <cell r="P22">
            <v>1350</v>
          </cell>
          <cell r="Q22">
            <v>1315</v>
          </cell>
          <cell r="R22">
            <v>-35</v>
          </cell>
          <cell r="AB22" t="str">
            <v>Duvha</v>
          </cell>
          <cell r="AC22">
            <v>44.03</v>
          </cell>
          <cell r="AD22">
            <v>20.789712591240875</v>
          </cell>
        </row>
        <row r="23">
          <cell r="K23">
            <v>88260</v>
          </cell>
          <cell r="L23" t="str">
            <v>kT</v>
          </cell>
          <cell r="O23" t="str">
            <v>Hendrina</v>
          </cell>
          <cell r="P23">
            <v>1000</v>
          </cell>
          <cell r="Q23">
            <v>950</v>
          </cell>
          <cell r="R23">
            <v>-50</v>
          </cell>
          <cell r="AB23" t="str">
            <v>Lethabo</v>
          </cell>
          <cell r="AC23">
            <v>31.67</v>
          </cell>
          <cell r="AD23">
            <v>21.542351765489677</v>
          </cell>
        </row>
        <row r="24">
          <cell r="I24">
            <v>-839.06150400000013</v>
          </cell>
          <cell r="O24" t="str">
            <v>Kendal</v>
          </cell>
          <cell r="P24">
            <v>2700</v>
          </cell>
          <cell r="Q24">
            <v>1880</v>
          </cell>
          <cell r="R24">
            <v>-820</v>
          </cell>
          <cell r="AB24" t="str">
            <v>Matimba</v>
          </cell>
          <cell r="AC24">
            <v>40.880000000000003</v>
          </cell>
          <cell r="AD24">
            <v>21.917953762911953</v>
          </cell>
        </row>
        <row r="25">
          <cell r="I25">
            <v>-581.74200000000008</v>
          </cell>
          <cell r="K25">
            <v>10399.892876800033</v>
          </cell>
          <cell r="L25" t="str">
            <v>kT</v>
          </cell>
          <cell r="O25" t="str">
            <v>Kriel</v>
          </cell>
          <cell r="P25">
            <v>1500</v>
          </cell>
          <cell r="Q25">
            <v>1070</v>
          </cell>
          <cell r="R25">
            <v>-430</v>
          </cell>
          <cell r="AB25" t="str">
            <v>Kendal</v>
          </cell>
          <cell r="AC25">
            <v>42.51</v>
          </cell>
          <cell r="AD25">
            <v>23.895878489326766</v>
          </cell>
        </row>
        <row r="26">
          <cell r="I26">
            <v>-940.67827200000011</v>
          </cell>
          <cell r="O26" t="str">
            <v>Lethabo</v>
          </cell>
          <cell r="P26">
            <v>1700</v>
          </cell>
          <cell r="Q26">
            <v>1620</v>
          </cell>
          <cell r="R26">
            <v>-80</v>
          </cell>
          <cell r="AB26" t="str">
            <v>Kriel</v>
          </cell>
          <cell r="AC26">
            <v>46.12</v>
          </cell>
          <cell r="AD26">
            <v>24.200899550224886</v>
          </cell>
        </row>
        <row r="27">
          <cell r="B27" t="str">
            <v>Stock</v>
          </cell>
          <cell r="I27">
            <v>-737.42140800000004</v>
          </cell>
          <cell r="O27" t="str">
            <v>Matimba</v>
          </cell>
          <cell r="P27">
            <v>1200</v>
          </cell>
          <cell r="Q27">
            <v>1200</v>
          </cell>
          <cell r="R27" t="str">
            <v/>
          </cell>
          <cell r="AB27" t="str">
            <v>Arnot</v>
          </cell>
          <cell r="AC27">
            <v>59.9</v>
          </cell>
          <cell r="AD27">
            <v>29.22285845167201</v>
          </cell>
        </row>
        <row r="28">
          <cell r="B28" t="str">
            <v>Required Stock/Day</v>
          </cell>
          <cell r="C28">
            <v>320.7</v>
          </cell>
          <cell r="D28" t="str">
            <v>kT</v>
          </cell>
          <cell r="I28">
            <v>-677.38679999999999</v>
          </cell>
          <cell r="O28" t="str">
            <v>Matla</v>
          </cell>
          <cell r="P28">
            <v>2300</v>
          </cell>
          <cell r="Q28">
            <v>2100</v>
          </cell>
          <cell r="R28">
            <v>-200</v>
          </cell>
          <cell r="AB28" t="str">
            <v>Majuba</v>
          </cell>
          <cell r="AC28">
            <v>71.27</v>
          </cell>
          <cell r="AD28">
            <v>36.653142857142861</v>
          </cell>
        </row>
        <row r="29">
          <cell r="B29" t="str">
            <v>Required Days</v>
          </cell>
          <cell r="C29">
            <v>20</v>
          </cell>
          <cell r="D29" t="str">
            <v>days</v>
          </cell>
          <cell r="I29">
            <v>-661.45144319999997</v>
          </cell>
          <cell r="O29" t="str">
            <v>Majuba Total</v>
          </cell>
          <cell r="P29">
            <v>3550</v>
          </cell>
          <cell r="Q29">
            <v>4490</v>
          </cell>
          <cell r="R29">
            <v>940</v>
          </cell>
          <cell r="AB29" t="str">
            <v>Tutuka</v>
          </cell>
          <cell r="AC29">
            <v>83.73</v>
          </cell>
          <cell r="AD29">
            <v>41.721836834391794</v>
          </cell>
        </row>
        <row r="30">
          <cell r="B30" t="str">
            <v>Required Tons for 20 days stock</v>
          </cell>
          <cell r="C30">
            <v>6414</v>
          </cell>
          <cell r="D30" t="str">
            <v>kT</v>
          </cell>
          <cell r="I30">
            <v>-679.61462400000005</v>
          </cell>
          <cell r="O30" t="str">
            <v>Tutuka</v>
          </cell>
          <cell r="P30">
            <v>1700</v>
          </cell>
          <cell r="Q30">
            <v>1100</v>
          </cell>
          <cell r="R30">
            <v>-600</v>
          </cell>
        </row>
        <row r="31">
          <cell r="P31">
            <v>19000</v>
          </cell>
          <cell r="Q31">
            <v>17525</v>
          </cell>
          <cell r="R31">
            <v>-1475</v>
          </cell>
          <cell r="AB31" t="str">
            <v>Note:</v>
          </cell>
        </row>
        <row r="32">
          <cell r="AB32" t="str">
            <v xml:space="preserve">Based of Five Year Plan for 2000 - will be adjusted </v>
          </cell>
        </row>
      </sheetData>
      <sheetData sheetId="1" refreshError="1">
        <row r="3">
          <cell r="A3" t="str">
            <v>Station Burn Rate Calculations for Budget 2000</v>
          </cell>
        </row>
        <row r="5">
          <cell r="A5" t="str">
            <v>Calorific Value (MJ/kg)</v>
          </cell>
        </row>
        <row r="6">
          <cell r="B6" t="str">
            <v>FYP</v>
          </cell>
          <cell r="C6" t="str">
            <v>Bud2000</v>
          </cell>
          <cell r="D6" t="str">
            <v>Change</v>
          </cell>
        </row>
        <row r="7">
          <cell r="A7" t="str">
            <v>Arnot</v>
          </cell>
          <cell r="B7">
            <v>22.06</v>
          </cell>
          <cell r="C7">
            <v>21.83</v>
          </cell>
          <cell r="D7">
            <v>-1.0426110607434291E-2</v>
          </cell>
        </row>
        <row r="8">
          <cell r="A8" t="str">
            <v>Duvha</v>
          </cell>
          <cell r="B8">
            <v>21.6</v>
          </cell>
          <cell r="C8">
            <v>21.92</v>
          </cell>
          <cell r="D8">
            <v>1.4814814814814828E-2</v>
          </cell>
        </row>
        <row r="9">
          <cell r="A9" t="str">
            <v>Hendrina</v>
          </cell>
          <cell r="B9">
            <v>22</v>
          </cell>
          <cell r="C9">
            <v>22.08</v>
          </cell>
          <cell r="D9">
            <v>3.6363636363635587E-3</v>
          </cell>
        </row>
        <row r="10">
          <cell r="A10" t="str">
            <v>Kendal</v>
          </cell>
          <cell r="B10">
            <v>18.5</v>
          </cell>
          <cell r="C10">
            <v>18.27</v>
          </cell>
          <cell r="D10">
            <v>-1.2432432432432455E-2</v>
          </cell>
        </row>
        <row r="11">
          <cell r="A11" t="str">
            <v>Kriel</v>
          </cell>
          <cell r="B11">
            <v>20.28</v>
          </cell>
          <cell r="C11">
            <v>20.010000000000002</v>
          </cell>
          <cell r="D11">
            <v>-1.3313609467455599E-2</v>
          </cell>
        </row>
        <row r="12">
          <cell r="A12" t="str">
            <v>Lethabo</v>
          </cell>
          <cell r="B12">
            <v>15.3</v>
          </cell>
          <cell r="C12">
            <v>15.01</v>
          </cell>
          <cell r="D12">
            <v>-1.8954248366013133E-2</v>
          </cell>
        </row>
        <row r="13">
          <cell r="A13" t="str">
            <v>Matimba</v>
          </cell>
          <cell r="B13">
            <v>21.546961325966851</v>
          </cell>
          <cell r="C13">
            <v>21</v>
          </cell>
          <cell r="D13">
            <v>-2.5384615384615408E-2</v>
          </cell>
        </row>
        <row r="14">
          <cell r="A14" t="str">
            <v>Matla</v>
          </cell>
          <cell r="B14">
            <v>20.13</v>
          </cell>
          <cell r="C14">
            <v>20</v>
          </cell>
          <cell r="D14">
            <v>-6.458022851465425E-3</v>
          </cell>
        </row>
        <row r="15">
          <cell r="A15" t="str">
            <v>Majuba *</v>
          </cell>
          <cell r="B15">
            <v>20.84</v>
          </cell>
          <cell r="C15">
            <v>20.329999999999998</v>
          </cell>
          <cell r="D15">
            <v>-2.4472168905950172E-2</v>
          </cell>
        </row>
        <row r="16">
          <cell r="A16" t="str">
            <v>Tutuka</v>
          </cell>
          <cell r="B16">
            <v>21.08</v>
          </cell>
          <cell r="C16">
            <v>20.47</v>
          </cell>
          <cell r="D16">
            <v>-2.893738140417455E-2</v>
          </cell>
        </row>
        <row r="18">
          <cell r="A18" t="str">
            <v>Heat Rate(MJ/kWh)</v>
          </cell>
        </row>
        <row r="19">
          <cell r="B19" t="str">
            <v>FYP</v>
          </cell>
          <cell r="C19" t="str">
            <v>Bud2000</v>
          </cell>
          <cell r="D19" t="str">
            <v>Change</v>
          </cell>
        </row>
        <row r="20">
          <cell r="A20" t="str">
            <v>Arnot</v>
          </cell>
          <cell r="B20">
            <v>10.65</v>
          </cell>
          <cell r="C20">
            <v>10.65</v>
          </cell>
          <cell r="D20">
            <v>0</v>
          </cell>
        </row>
        <row r="21">
          <cell r="A21" t="str">
            <v>Duvha</v>
          </cell>
          <cell r="B21">
            <v>10.35</v>
          </cell>
          <cell r="C21">
            <v>10.35</v>
          </cell>
          <cell r="D21">
            <v>0</v>
          </cell>
        </row>
        <row r="22">
          <cell r="A22" t="str">
            <v>Hendrina</v>
          </cell>
          <cell r="B22">
            <v>11.2</v>
          </cell>
          <cell r="C22">
            <v>11.2</v>
          </cell>
          <cell r="D22">
            <v>0</v>
          </cell>
        </row>
        <row r="23">
          <cell r="A23" t="str">
            <v>Kendal</v>
          </cell>
          <cell r="B23">
            <v>10.27</v>
          </cell>
          <cell r="C23">
            <v>10.27</v>
          </cell>
          <cell r="D23">
            <v>0</v>
          </cell>
        </row>
        <row r="24">
          <cell r="A24" t="str">
            <v>Kriel</v>
          </cell>
          <cell r="B24">
            <v>10.5</v>
          </cell>
          <cell r="C24">
            <v>10.5</v>
          </cell>
          <cell r="D24">
            <v>0</v>
          </cell>
        </row>
        <row r="25">
          <cell r="A25" t="str">
            <v>Lethabo</v>
          </cell>
          <cell r="B25">
            <v>10.210000000000001</v>
          </cell>
          <cell r="C25">
            <v>10.210000000000001</v>
          </cell>
          <cell r="D25">
            <v>0</v>
          </cell>
        </row>
        <row r="26">
          <cell r="A26" t="str">
            <v>Matimba</v>
          </cell>
          <cell r="B26">
            <v>10.8</v>
          </cell>
          <cell r="C26">
            <v>10.8</v>
          </cell>
          <cell r="D26">
            <v>0</v>
          </cell>
        </row>
        <row r="27">
          <cell r="A27" t="str">
            <v>Matla</v>
          </cell>
          <cell r="B27">
            <v>10.1</v>
          </cell>
          <cell r="C27">
            <v>10.1</v>
          </cell>
          <cell r="D27">
            <v>0</v>
          </cell>
        </row>
        <row r="28">
          <cell r="A28" t="str">
            <v>Majuba *</v>
          </cell>
          <cell r="B28">
            <v>10.9</v>
          </cell>
          <cell r="C28">
            <v>10.9</v>
          </cell>
          <cell r="D28">
            <v>0</v>
          </cell>
        </row>
        <row r="29">
          <cell r="A29" t="str">
            <v>Tutuka</v>
          </cell>
          <cell r="B29">
            <v>10.199999999999999</v>
          </cell>
          <cell r="C29">
            <v>10.199999999999999</v>
          </cell>
          <cell r="D29">
            <v>0</v>
          </cell>
        </row>
        <row r="31">
          <cell r="A31" t="str">
            <v>Burn Rate (kg/kWh)</v>
          </cell>
          <cell r="F31" t="str">
            <v>Standard Daily Burn Rates</v>
          </cell>
        </row>
        <row r="32">
          <cell r="B32" t="str">
            <v>FYP</v>
          </cell>
          <cell r="C32" t="str">
            <v>Bud2000</v>
          </cell>
          <cell r="D32" t="str">
            <v>Change</v>
          </cell>
          <cell r="G32" t="str">
            <v>FYP</v>
          </cell>
          <cell r="H32" t="str">
            <v>Bud2000</v>
          </cell>
          <cell r="I32" t="str">
            <v>Change</v>
          </cell>
        </row>
        <row r="33">
          <cell r="A33" t="str">
            <v>Arnot</v>
          </cell>
          <cell r="B33">
            <v>0.48277425203989127</v>
          </cell>
          <cell r="C33">
            <v>0.48799999999999999</v>
          </cell>
          <cell r="D33">
            <v>1.0824413145539747E-2</v>
          </cell>
          <cell r="F33" t="str">
            <v>Arnot</v>
          </cell>
          <cell r="G33">
            <v>18.582560290117861</v>
          </cell>
          <cell r="H33">
            <v>18.783705599999998</v>
          </cell>
          <cell r="I33">
            <v>1.0824413145539728E-2</v>
          </cell>
        </row>
        <row r="34">
          <cell r="A34" t="str">
            <v>Duvha</v>
          </cell>
          <cell r="B34">
            <v>0.47916666666666663</v>
          </cell>
          <cell r="C34">
            <v>0.47199999999999998</v>
          </cell>
          <cell r="D34">
            <v>-1.495652173913041E-2</v>
          </cell>
          <cell r="F34" t="str">
            <v>Duvha</v>
          </cell>
          <cell r="G34">
            <v>32.136749999999999</v>
          </cell>
          <cell r="H34">
            <v>31.656095999999998</v>
          </cell>
          <cell r="I34">
            <v>-1.4956521739130474E-2</v>
          </cell>
        </row>
        <row r="35">
          <cell r="A35" t="str">
            <v>Hendrina</v>
          </cell>
          <cell r="B35">
            <v>0.50909090909090904</v>
          </cell>
          <cell r="C35">
            <v>0.50700000000000001</v>
          </cell>
          <cell r="D35">
            <v>-4.1071428571427425E-3</v>
          </cell>
          <cell r="F35" t="str">
            <v>Hendrina</v>
          </cell>
          <cell r="G35">
            <v>18.803781818181815</v>
          </cell>
          <cell r="H35">
            <v>18.726551999999998</v>
          </cell>
          <cell r="I35">
            <v>-4.1071428571427693E-3</v>
          </cell>
        </row>
        <row r="36">
          <cell r="A36" t="str">
            <v>Kendal</v>
          </cell>
          <cell r="B36">
            <v>0.55513513513513513</v>
          </cell>
          <cell r="C36">
            <v>0.56200000000000006</v>
          </cell>
          <cell r="D36">
            <v>1.236611489776058E-2</v>
          </cell>
          <cell r="F36" t="str">
            <v>Kendal</v>
          </cell>
          <cell r="G36">
            <v>41.440615783783784</v>
          </cell>
          <cell r="H36">
            <v>41.953075200000008</v>
          </cell>
          <cell r="I36">
            <v>1.2366114897760653E-2</v>
          </cell>
        </row>
        <row r="37">
          <cell r="A37" t="str">
            <v>Kriel</v>
          </cell>
          <cell r="B37">
            <v>0.51775147928994081</v>
          </cell>
          <cell r="C37">
            <v>0.52500000000000002</v>
          </cell>
          <cell r="D37">
            <v>1.4000000000000084E-2</v>
          </cell>
          <cell r="F37" t="str">
            <v>Kriel</v>
          </cell>
          <cell r="G37">
            <v>28.685502958579885</v>
          </cell>
          <cell r="H37">
            <v>29.087100000000003</v>
          </cell>
          <cell r="I37">
            <v>1.3999999999999978E-2</v>
          </cell>
        </row>
        <row r="38">
          <cell r="A38" t="str">
            <v>Lethabo</v>
          </cell>
          <cell r="B38">
            <v>0.66732026143790857</v>
          </cell>
          <cell r="C38">
            <v>0.68</v>
          </cell>
          <cell r="D38">
            <v>1.9000979431929445E-2</v>
          </cell>
          <cell r="F38" t="str">
            <v>Lethabo</v>
          </cell>
          <cell r="G38">
            <v>46.156887529411776</v>
          </cell>
          <cell r="H38">
            <v>47.033913600000005</v>
          </cell>
          <cell r="I38">
            <v>1.9000979431929348E-2</v>
          </cell>
        </row>
        <row r="39">
          <cell r="A39" t="str">
            <v>Matimba</v>
          </cell>
          <cell r="B39">
            <v>0.50123076923076926</v>
          </cell>
          <cell r="C39">
            <v>0.51400000000000001</v>
          </cell>
          <cell r="D39">
            <v>2.5475751995088981E-2</v>
          </cell>
          <cell r="F39" t="str">
            <v>Matimba</v>
          </cell>
          <cell r="G39">
            <v>35.955087507692312</v>
          </cell>
          <cell r="H39">
            <v>36.871070400000001</v>
          </cell>
          <cell r="I39">
            <v>2.5475751995088908E-2</v>
          </cell>
        </row>
        <row r="40">
          <cell r="A40" t="str">
            <v>Matla</v>
          </cell>
          <cell r="B40">
            <v>0.50173869846000996</v>
          </cell>
          <cell r="C40">
            <v>0.505</v>
          </cell>
          <cell r="D40">
            <v>6.4999999999999641E-3</v>
          </cell>
          <cell r="F40" t="str">
            <v>Matla</v>
          </cell>
          <cell r="G40">
            <v>33.65061102831595</v>
          </cell>
          <cell r="H40">
            <v>33.869340000000001</v>
          </cell>
          <cell r="I40">
            <v>6.4999999999999216E-3</v>
          </cell>
        </row>
        <row r="41">
          <cell r="A41" t="str">
            <v>Majuba *</v>
          </cell>
          <cell r="B41">
            <v>0.52303262955854124</v>
          </cell>
          <cell r="C41">
            <v>0.53600000000000003</v>
          </cell>
          <cell r="D41">
            <v>2.4792660550458829E-2</v>
          </cell>
          <cell r="F41" t="str">
            <v>Majuba *</v>
          </cell>
          <cell r="G41">
            <v>32.272452207293668</v>
          </cell>
          <cell r="H41">
            <v>33.07257216</v>
          </cell>
          <cell r="I41">
            <v>2.4792660550458655E-2</v>
          </cell>
        </row>
        <row r="42">
          <cell r="A42" t="str">
            <v>Tutuka</v>
          </cell>
          <cell r="B42">
            <v>0.4838709677419355</v>
          </cell>
          <cell r="C42">
            <v>0.498</v>
          </cell>
          <cell r="D42">
            <v>2.9199999999999966E-2</v>
          </cell>
          <cell r="F42" t="str">
            <v>Tutuka</v>
          </cell>
          <cell r="G42">
            <v>33.016645161290327</v>
          </cell>
          <cell r="H42">
            <v>33.980731200000001</v>
          </cell>
          <cell r="I42">
            <v>2.9199999999999882E-2</v>
          </cell>
        </row>
        <row r="43">
          <cell r="A43" t="str">
            <v>Average</v>
          </cell>
          <cell r="B43">
            <v>0.52211117686517083</v>
          </cell>
          <cell r="C43">
            <v>0.52869999999999995</v>
          </cell>
          <cell r="D43">
            <v>1.2619578792373949E-2</v>
          </cell>
          <cell r="F43" t="str">
            <v>Total</v>
          </cell>
          <cell r="G43">
            <v>320.70089428466741</v>
          </cell>
          <cell r="H43">
            <v>325.03415616000001</v>
          </cell>
          <cell r="I43">
            <v>1.3511848431224558E-2</v>
          </cell>
        </row>
        <row r="45">
          <cell r="A45" t="str">
            <v>Source : for Five Year Plan</v>
          </cell>
        </row>
        <row r="46">
          <cell r="A46" t="str">
            <v>Calorific Value - Fuel Procurement (Kumi Chetty)</v>
          </cell>
        </row>
        <row r="47">
          <cell r="A47" t="str">
            <v>Heat Rates - Nigel Volk</v>
          </cell>
        </row>
      </sheetData>
      <sheetData sheetId="2" refreshError="1">
        <row r="1">
          <cell r="A1" t="str">
            <v>FIVE YEAR PRODUCTION PLAN</v>
          </cell>
        </row>
        <row r="2">
          <cell r="A2" t="str">
            <v>(2000-2004)</v>
          </cell>
        </row>
        <row r="3">
          <cell r="A3" t="str">
            <v>DRAFT</v>
          </cell>
        </row>
        <row r="4">
          <cell r="A4" t="str">
            <v xml:space="preserve">REVISION 2.1 </v>
          </cell>
        </row>
        <row r="5">
          <cell r="A5" t="str">
            <v>18 May 1999</v>
          </cell>
        </row>
        <row r="6">
          <cell r="A6" t="str">
            <v>Assumptions</v>
          </cell>
        </row>
        <row r="8">
          <cell r="A8" t="str">
            <v>YEAR</v>
          </cell>
          <cell r="B8">
            <v>1999</v>
          </cell>
          <cell r="C8">
            <v>2000</v>
          </cell>
          <cell r="D8">
            <v>2001</v>
          </cell>
          <cell r="E8">
            <v>2002</v>
          </cell>
          <cell r="F8">
            <v>2003</v>
          </cell>
          <cell r="G8">
            <v>2004</v>
          </cell>
        </row>
        <row r="9">
          <cell r="A9" t="str">
            <v>ENERGY SENTOUT (GWh)</v>
          </cell>
          <cell r="B9">
            <v>180892</v>
          </cell>
          <cell r="C9">
            <v>183593.8</v>
          </cell>
          <cell r="D9">
            <v>189652.4</v>
          </cell>
          <cell r="E9">
            <v>194722.3</v>
          </cell>
          <cell r="F9">
            <v>199899.4</v>
          </cell>
          <cell r="G9">
            <v>204102.5</v>
          </cell>
        </row>
        <row r="10">
          <cell r="A10" t="str">
            <v>% GROWTH</v>
          </cell>
          <cell r="B10">
            <v>-8.5393258426966299E-3</v>
          </cell>
          <cell r="C10">
            <v>1.4935983901996706E-2</v>
          </cell>
          <cell r="D10">
            <v>3.3000025055312361E-2</v>
          </cell>
          <cell r="E10">
            <v>2.6732590781872491E-2</v>
          </cell>
          <cell r="F10">
            <v>2.6587093517280794E-2</v>
          </cell>
          <cell r="G10">
            <v>2.1026076116286523E-2</v>
          </cell>
        </row>
        <row r="12">
          <cell r="A12" t="str">
            <v>· Energy growth(Nett Sentout) from EDD based on I.E.P. low growth forecast. (2.3% Growth)</v>
          </cell>
        </row>
        <row r="13">
          <cell r="A13" t="str">
            <v xml:space="preserve">· Coal delivery limits and import options as per Fuel Procurement. </v>
          </cell>
        </row>
        <row r="14">
          <cell r="A14" t="str">
            <v>· Koeberg Production Plan in line with Revision 42 of the 10 Year Plan from KNPS.</v>
          </cell>
        </row>
        <row r="15">
          <cell r="A15" t="str">
            <v>· Maintenance as per latest Maintenance Plan from Outage Planning.</v>
          </cell>
        </row>
        <row r="16">
          <cell r="A16" t="str">
            <v>· DWA pumping forecast from Peaking Generation.</v>
          </cell>
        </row>
        <row r="17">
          <cell r="A17" t="str">
            <v>· Standard Daily Burn calculated on standard of 90% availability and 90% load factor.</v>
          </cell>
        </row>
        <row r="18">
          <cell r="A18" t="str">
            <v xml:space="preserve">· EAF as per station forecasts. </v>
          </cell>
        </row>
        <row r="19">
          <cell r="A19" t="str">
            <v>· Majuba precommercial burn as per Majuba commissioning plan</v>
          </cell>
        </row>
      </sheetData>
      <sheetData sheetId="3" refreshError="1">
        <row r="1">
          <cell r="A1" t="str">
            <v>-- TABLE 1 --</v>
          </cell>
          <cell r="U1" t="str">
            <v>-- TABLE 3 --</v>
          </cell>
          <cell r="AD1" t="str">
            <v>-- TABLE 4 --</v>
          </cell>
          <cell r="AK1" t="str">
            <v>-- TABLE 4 --</v>
          </cell>
          <cell r="CT1" t="str">
            <v>-- TABLE 11 --</v>
          </cell>
          <cell r="DD1" t="str">
            <v>-- TABLE 12 --</v>
          </cell>
        </row>
        <row r="3">
          <cell r="U3" t="str">
            <v>ENERGY SENTOUT</v>
          </cell>
          <cell r="AD3" t="str">
            <v>COAL BURN RATES</v>
          </cell>
          <cell r="AK3" t="str">
            <v>COAL BURN</v>
          </cell>
          <cell r="CT3" t="str">
            <v xml:space="preserve">ESKOM STATION GROSS WATER CONSUMPTION  </v>
          </cell>
          <cell r="DD3" t="str">
            <v>PARTICULATE EMISSIONS</v>
          </cell>
        </row>
        <row r="4">
          <cell r="U4" t="str">
            <v>(GWh)</v>
          </cell>
          <cell r="AD4" t="str">
            <v>(kg/kWh)</v>
          </cell>
          <cell r="AK4" t="str">
            <v>(kTons)</v>
          </cell>
          <cell r="CT4" t="str">
            <v>(Mm3)</v>
          </cell>
          <cell r="DD4" t="str">
            <v>(Tons)</v>
          </cell>
        </row>
        <row r="6">
          <cell r="U6" t="str">
            <v>STATION</v>
          </cell>
          <cell r="V6">
            <v>1998</v>
          </cell>
          <cell r="W6">
            <v>1999</v>
          </cell>
          <cell r="X6">
            <v>2000</v>
          </cell>
          <cell r="Y6">
            <v>2001</v>
          </cell>
          <cell r="Z6">
            <v>2002</v>
          </cell>
          <cell r="AA6">
            <v>2003</v>
          </cell>
          <cell r="AB6">
            <v>2004</v>
          </cell>
          <cell r="AD6" t="str">
            <v>STATION</v>
          </cell>
          <cell r="AE6">
            <v>2000</v>
          </cell>
          <cell r="AF6">
            <v>2001</v>
          </cell>
          <cell r="AG6">
            <v>2002</v>
          </cell>
          <cell r="AH6">
            <v>2003</v>
          </cell>
          <cell r="AI6">
            <v>2004</v>
          </cell>
          <cell r="AK6" t="str">
            <v>STATION</v>
          </cell>
          <cell r="AL6">
            <v>2000</v>
          </cell>
          <cell r="AM6">
            <v>2001</v>
          </cell>
          <cell r="AN6">
            <v>2002</v>
          </cell>
          <cell r="AO6">
            <v>2003</v>
          </cell>
          <cell r="CT6" t="str">
            <v>STATION</v>
          </cell>
          <cell r="CU6" t="str">
            <v>Net Cons. Rate (l/kWh net)</v>
          </cell>
          <cell r="CV6" t="str">
            <v>Eskom 3rd Parties (Mm3/a)</v>
          </cell>
          <cell r="CW6">
            <v>1998</v>
          </cell>
          <cell r="CX6">
            <v>2000</v>
          </cell>
          <cell r="CY6">
            <v>2001</v>
          </cell>
          <cell r="CZ6">
            <v>2002</v>
          </cell>
          <cell r="DA6">
            <v>2003</v>
          </cell>
          <cell r="DB6">
            <v>2004</v>
          </cell>
          <cell r="DD6" t="str">
            <v>STATION</v>
          </cell>
          <cell r="DE6" t="str">
            <v>Emission Rate</v>
          </cell>
          <cell r="DF6">
            <v>1998</v>
          </cell>
          <cell r="DG6">
            <v>2000</v>
          </cell>
          <cell r="DH6">
            <v>2001</v>
          </cell>
          <cell r="DI6">
            <v>2002</v>
          </cell>
          <cell r="DJ6">
            <v>2003</v>
          </cell>
        </row>
        <row r="7">
          <cell r="U7" t="str">
            <v>Arnot</v>
          </cell>
          <cell r="V7">
            <v>6938</v>
          </cell>
          <cell r="W7">
            <v>8164</v>
          </cell>
          <cell r="X7">
            <v>9221.3114754098369</v>
          </cell>
          <cell r="Y7">
            <v>11301.059581423309</v>
          </cell>
          <cell r="Z7">
            <v>12226.167711480301</v>
          </cell>
          <cell r="AA7">
            <v>12296.570833333351</v>
          </cell>
          <cell r="AB7">
            <v>12219.718309859156</v>
          </cell>
          <cell r="AD7" t="str">
            <v>Arnot</v>
          </cell>
          <cell r="AE7">
            <v>0.48277425203989127</v>
          </cell>
          <cell r="AF7">
            <v>0.48898071625344353</v>
          </cell>
          <cell r="AG7">
            <v>0.49305555555555552</v>
          </cell>
          <cell r="AH7">
            <v>0.49100968188105115</v>
          </cell>
          <cell r="AI7">
            <v>0.49100968188105115</v>
          </cell>
          <cell r="AK7" t="str">
            <v>Arnot</v>
          </cell>
          <cell r="AL7">
            <v>4451.8117503678504</v>
          </cell>
          <cell r="AM7">
            <v>5526.0002085472106</v>
          </cell>
          <cell r="AN7">
            <v>6028.1799132993146</v>
          </cell>
          <cell r="AO7">
            <v>6037.7353331028207</v>
          </cell>
          <cell r="CT7" t="str">
            <v>Arnot</v>
          </cell>
          <cell r="CU7">
            <v>1.98</v>
          </cell>
          <cell r="CV7">
            <v>1.2640199999999999</v>
          </cell>
          <cell r="CW7">
            <v>17.428739999999998</v>
          </cell>
          <cell r="CX7">
            <v>19.522216721311477</v>
          </cell>
          <cell r="CY7">
            <v>23.64011797121815</v>
          </cell>
          <cell r="CZ7">
            <v>25.471832068730993</v>
          </cell>
          <cell r="DA7">
            <v>25.611230250000034</v>
          </cell>
          <cell r="DB7">
            <v>25.459062253521129</v>
          </cell>
          <cell r="DD7" t="str">
            <v>Arnot</v>
          </cell>
          <cell r="DE7">
            <v>1.35</v>
          </cell>
          <cell r="DF7">
            <v>11021.400000000001</v>
          </cell>
          <cell r="DG7">
            <v>12448.770491803281</v>
          </cell>
          <cell r="DH7">
            <v>15256.430434921469</v>
          </cell>
          <cell r="DI7">
            <v>16505.326410498408</v>
          </cell>
          <cell r="DJ7">
            <v>16600.370625000025</v>
          </cell>
        </row>
        <row r="8">
          <cell r="U8" t="str">
            <v>Duvha</v>
          </cell>
          <cell r="V8">
            <v>20649</v>
          </cell>
          <cell r="W8">
            <v>20558</v>
          </cell>
          <cell r="X8">
            <v>21186.440677966104</v>
          </cell>
          <cell r="Y8">
            <v>20956.521739130436</v>
          </cell>
          <cell r="Z8">
            <v>20932.310216135269</v>
          </cell>
          <cell r="AA8">
            <v>21890</v>
          </cell>
          <cell r="AB8">
            <v>21494.760289855072</v>
          </cell>
          <cell r="AD8" t="str">
            <v>Duvha</v>
          </cell>
          <cell r="AE8">
            <v>0.47916666666666663</v>
          </cell>
          <cell r="AF8">
            <v>0.47717842323651449</v>
          </cell>
          <cell r="AG8">
            <v>0.47806004618937648</v>
          </cell>
          <cell r="AH8">
            <v>0.4726027397260274</v>
          </cell>
          <cell r="AI8">
            <v>0.4726027397260274</v>
          </cell>
          <cell r="AK8" t="str">
            <v>Duvha</v>
          </cell>
          <cell r="AL8">
            <v>10151.836158192091</v>
          </cell>
          <cell r="AM8">
            <v>10000</v>
          </cell>
          <cell r="AN8">
            <v>10006.901188775984</v>
          </cell>
          <cell r="AO8">
            <v>10345.273972602739</v>
          </cell>
          <cell r="CT8" t="str">
            <v>Duvha</v>
          </cell>
          <cell r="CU8">
            <v>1.82</v>
          </cell>
          <cell r="CV8">
            <v>0.75595699999999999</v>
          </cell>
          <cell r="CW8">
            <v>38.171517000000001</v>
          </cell>
          <cell r="CX8">
            <v>39.315279033898314</v>
          </cell>
          <cell r="CY8">
            <v>38.896826565217395</v>
          </cell>
          <cell r="CZ8">
            <v>38.852761593366196</v>
          </cell>
          <cell r="DA8">
            <v>40.595757000000006</v>
          </cell>
          <cell r="DB8">
            <v>39.876420727536235</v>
          </cell>
          <cell r="DD8" t="str">
            <v>Duvha</v>
          </cell>
          <cell r="DE8">
            <v>0.47</v>
          </cell>
          <cell r="DF8">
            <v>9662.26</v>
          </cell>
          <cell r="DG8">
            <v>9957.6271186440681</v>
          </cell>
          <cell r="DH8">
            <v>9849.565217391304</v>
          </cell>
          <cell r="DI8">
            <v>9838.1858015835751</v>
          </cell>
          <cell r="DJ8">
            <v>10288.299999999999</v>
          </cell>
        </row>
        <row r="9">
          <cell r="U9" t="str">
            <v>Hendrina</v>
          </cell>
          <cell r="V9">
            <v>12342</v>
          </cell>
          <cell r="W9">
            <v>12341</v>
          </cell>
          <cell r="X9">
            <v>12919.132149901381</v>
          </cell>
          <cell r="Y9">
            <v>12767.857142857143</v>
          </cell>
          <cell r="Z9">
            <v>12889</v>
          </cell>
          <cell r="AA9">
            <v>13018</v>
          </cell>
          <cell r="AB9">
            <v>12952.537142857143</v>
          </cell>
          <cell r="AD9" t="str">
            <v>Hendrina</v>
          </cell>
          <cell r="AE9">
            <v>0.50909090909090904</v>
          </cell>
          <cell r="AF9">
            <v>0.50909090909090904</v>
          </cell>
          <cell r="AG9">
            <v>0.50909090909090904</v>
          </cell>
          <cell r="AH9">
            <v>0.50909090909090904</v>
          </cell>
          <cell r="AI9">
            <v>0.50909090909090904</v>
          </cell>
          <cell r="AK9" t="str">
            <v>Hendrina</v>
          </cell>
          <cell r="AL9">
            <v>6577.0127308588844</v>
          </cell>
          <cell r="AM9">
            <v>6499.9999999999991</v>
          </cell>
          <cell r="AN9">
            <v>6561.6727272727267</v>
          </cell>
          <cell r="AO9">
            <v>6627.3454545454542</v>
          </cell>
          <cell r="CT9" t="str">
            <v>Hendrina</v>
          </cell>
          <cell r="CU9">
            <v>2.1</v>
          </cell>
          <cell r="CV9">
            <v>1.4410799999999999</v>
          </cell>
          <cell r="CW9">
            <v>27.357180000000003</v>
          </cell>
          <cell r="CX9">
            <v>28.571257514792901</v>
          </cell>
          <cell r="CY9">
            <v>28.253579999999999</v>
          </cell>
          <cell r="CZ9">
            <v>28.50798</v>
          </cell>
          <cell r="DA9">
            <v>28.778880000000001</v>
          </cell>
          <cell r="DB9">
            <v>28.641408000000002</v>
          </cell>
          <cell r="DD9" t="str">
            <v>Hendrina</v>
          </cell>
          <cell r="DE9">
            <v>0.87</v>
          </cell>
          <cell r="DF9">
            <v>10736.67</v>
          </cell>
          <cell r="DG9">
            <v>11239.644970414201</v>
          </cell>
          <cell r="DH9">
            <v>11108.035714285714</v>
          </cell>
          <cell r="DI9">
            <v>11213.43</v>
          </cell>
          <cell r="DJ9">
            <v>11325.66</v>
          </cell>
        </row>
        <row r="10">
          <cell r="U10" t="str">
            <v>Kendal</v>
          </cell>
          <cell r="V10">
            <v>23983</v>
          </cell>
          <cell r="W10">
            <v>24539</v>
          </cell>
          <cell r="X10">
            <v>24911.032028469748</v>
          </cell>
          <cell r="Y10">
            <v>26314</v>
          </cell>
          <cell r="Z10">
            <v>28576</v>
          </cell>
          <cell r="AA10">
            <v>28327.056413714436</v>
          </cell>
          <cell r="AB10">
            <v>26976</v>
          </cell>
          <cell r="AD10" t="str">
            <v>Kendal</v>
          </cell>
          <cell r="AE10">
            <v>0.55513513513513513</v>
          </cell>
          <cell r="AF10">
            <v>0.55405405405405406</v>
          </cell>
          <cell r="AG10">
            <v>0.5534557235421167</v>
          </cell>
          <cell r="AH10">
            <v>0.54989270386266098</v>
          </cell>
          <cell r="AI10">
            <v>0.54989270386266098</v>
          </cell>
          <cell r="AK10" t="str">
            <v>Kendal</v>
          </cell>
          <cell r="AL10">
            <v>13828.989131480233</v>
          </cell>
          <cell r="AM10">
            <v>14579.378378378378</v>
          </cell>
          <cell r="AN10">
            <v>15815.550755939526</v>
          </cell>
          <cell r="AO10">
            <v>15576.841643807564</v>
          </cell>
          <cell r="CT10" t="str">
            <v>Kendal</v>
          </cell>
          <cell r="CU10">
            <v>0.16</v>
          </cell>
          <cell r="CV10">
            <v>0.29601</v>
          </cell>
          <cell r="CW10">
            <v>4.2222500000000007</v>
          </cell>
          <cell r="CX10">
            <v>4.2817751245551596</v>
          </cell>
          <cell r="CY10">
            <v>4.5062499999999996</v>
          </cell>
          <cell r="CZ10">
            <v>4.8681700000000001</v>
          </cell>
          <cell r="DA10">
            <v>4.8283390261943104</v>
          </cell>
          <cell r="DB10">
            <v>4.6121699999999999</v>
          </cell>
          <cell r="DD10" t="str">
            <v>Kendal</v>
          </cell>
          <cell r="DE10">
            <v>0.11</v>
          </cell>
          <cell r="DF10">
            <v>2699.29</v>
          </cell>
          <cell r="DG10">
            <v>2740.2135231316724</v>
          </cell>
          <cell r="DH10">
            <v>2894.54</v>
          </cell>
          <cell r="DI10">
            <v>3143.36</v>
          </cell>
          <cell r="DJ10">
            <v>3115.976205508588</v>
          </cell>
        </row>
        <row r="11">
          <cell r="U11" t="str">
            <v>Kriel</v>
          </cell>
          <cell r="V11">
            <v>17169</v>
          </cell>
          <cell r="W11">
            <v>16819</v>
          </cell>
          <cell r="X11">
            <v>13200</v>
          </cell>
          <cell r="Y11">
            <v>13510</v>
          </cell>
          <cell r="Z11">
            <v>13433.136875353695</v>
          </cell>
          <cell r="AA11">
            <v>12572.311827896507</v>
          </cell>
          <cell r="AB11">
            <v>12572.857142857139</v>
          </cell>
          <cell r="AD11" t="str">
            <v>Kriel</v>
          </cell>
          <cell r="AE11">
            <v>0.51775147928994081</v>
          </cell>
          <cell r="AF11">
            <v>0.51521099116781166</v>
          </cell>
          <cell r="AG11">
            <v>0.5167322834645669</v>
          </cell>
          <cell r="AH11">
            <v>0.51698670605613006</v>
          </cell>
          <cell r="AI11">
            <v>0.51698670605613006</v>
          </cell>
          <cell r="AK11" t="str">
            <v>Kriel</v>
          </cell>
          <cell r="AL11">
            <v>6834.3195266272187</v>
          </cell>
          <cell r="AM11">
            <v>6960.5004906771355</v>
          </cell>
          <cell r="AN11">
            <v>6941.3354916935923</v>
          </cell>
          <cell r="AO11">
            <v>6499.7180794147389</v>
          </cell>
          <cell r="CT11" t="str">
            <v>Kriel</v>
          </cell>
          <cell r="CU11">
            <v>1.93</v>
          </cell>
          <cell r="CV11">
            <v>0.65263000000000004</v>
          </cell>
          <cell r="CW11">
            <v>33.113300000000002</v>
          </cell>
          <cell r="CX11">
            <v>26.128629999999998</v>
          </cell>
          <cell r="CY11">
            <v>26.726929999999999</v>
          </cell>
          <cell r="CZ11">
            <v>26.578584169432631</v>
          </cell>
          <cell r="DA11">
            <v>24.917191827840256</v>
          </cell>
          <cell r="DB11">
            <v>24.918244285714277</v>
          </cell>
          <cell r="DD11" t="str">
            <v>Kriel</v>
          </cell>
          <cell r="DE11">
            <v>0.56000000000000005</v>
          </cell>
          <cell r="DF11">
            <v>9418.6400000000012</v>
          </cell>
          <cell r="DG11">
            <v>7392.0000000000009</v>
          </cell>
          <cell r="DH11">
            <v>7565.6</v>
          </cell>
          <cell r="DI11">
            <v>7522.5566501980702</v>
          </cell>
          <cell r="DJ11">
            <v>7040.4946236220439</v>
          </cell>
        </row>
        <row r="12">
          <cell r="U12" t="str">
            <v>Lethabo</v>
          </cell>
          <cell r="V12">
            <v>19679</v>
          </cell>
          <cell r="W12">
            <v>19839</v>
          </cell>
          <cell r="X12">
            <v>22352.941176470587</v>
          </cell>
          <cell r="Y12">
            <v>22680</v>
          </cell>
          <cell r="Z12">
            <v>22736</v>
          </cell>
          <cell r="AA12">
            <v>23552.664178931234</v>
          </cell>
          <cell r="AB12">
            <v>23070.395556777999</v>
          </cell>
          <cell r="AD12" t="str">
            <v>Lethabo</v>
          </cell>
          <cell r="AE12">
            <v>0.66732026143790857</v>
          </cell>
          <cell r="AF12">
            <v>0.66666666666666663</v>
          </cell>
          <cell r="AG12">
            <v>0.66535947712418297</v>
          </cell>
          <cell r="AH12">
            <v>0.66535947712418297</v>
          </cell>
          <cell r="AI12">
            <v>0.66535947712418297</v>
          </cell>
          <cell r="AK12" t="str">
            <v>Lethabo</v>
          </cell>
          <cell r="AL12">
            <v>14916.570549788545</v>
          </cell>
          <cell r="AM12">
            <v>15120</v>
          </cell>
          <cell r="AN12">
            <v>15127.613071895425</v>
          </cell>
          <cell r="AO12">
            <v>15670.988322975161</v>
          </cell>
          <cell r="CT12" t="str">
            <v>Lethabo</v>
          </cell>
          <cell r="CU12">
            <v>1.8</v>
          </cell>
          <cell r="CV12">
            <v>0.7</v>
          </cell>
          <cell r="CW12">
            <v>36.41020000000001</v>
          </cell>
          <cell r="CX12">
            <v>40.935294117647061</v>
          </cell>
          <cell r="CY12">
            <v>41.524000000000001</v>
          </cell>
          <cell r="CZ12">
            <v>41.624800000000008</v>
          </cell>
          <cell r="DA12">
            <v>43.094795522076225</v>
          </cell>
          <cell r="DB12">
            <v>42.226712002200408</v>
          </cell>
          <cell r="DD12" t="str">
            <v>Lethabo</v>
          </cell>
          <cell r="DE12">
            <v>0.41</v>
          </cell>
          <cell r="DF12">
            <v>8133.99</v>
          </cell>
          <cell r="DG12">
            <v>9164.7058823529405</v>
          </cell>
          <cell r="DH12">
            <v>9298.7999999999993</v>
          </cell>
          <cell r="DI12">
            <v>9321.76</v>
          </cell>
          <cell r="DJ12">
            <v>9656.5923133618053</v>
          </cell>
        </row>
        <row r="13">
          <cell r="U13" t="str">
            <v>Matimba</v>
          </cell>
          <cell r="V13">
            <v>23113</v>
          </cell>
          <cell r="W13">
            <v>23091</v>
          </cell>
          <cell r="X13">
            <v>23346.303501945524</v>
          </cell>
          <cell r="Y13">
            <v>24164.816440336657</v>
          </cell>
          <cell r="Z13">
            <v>24438.783741085354</v>
          </cell>
          <cell r="AA13">
            <v>24666.951640336658</v>
          </cell>
          <cell r="AB13">
            <v>24523.484440336659</v>
          </cell>
          <cell r="AD13" t="str">
            <v>Matimba</v>
          </cell>
          <cell r="AE13">
            <v>0.50123076923076926</v>
          </cell>
          <cell r="AF13">
            <v>0.49658974358974356</v>
          </cell>
          <cell r="AG13">
            <v>0.49658974358974356</v>
          </cell>
          <cell r="AH13">
            <v>0.49658974358974356</v>
          </cell>
          <cell r="AI13">
            <v>0.49658974358974356</v>
          </cell>
          <cell r="AK13" t="str">
            <v>Matimba</v>
          </cell>
          <cell r="AL13">
            <v>11701.885662975157</v>
          </cell>
          <cell r="AM13">
            <v>12000</v>
          </cell>
          <cell r="AN13">
            <v>12136.049351630769</v>
          </cell>
          <cell r="AO13">
            <v>12249.355190215385</v>
          </cell>
          <cell r="CT13" t="str">
            <v>Matimba</v>
          </cell>
          <cell r="CU13">
            <v>0.16</v>
          </cell>
          <cell r="CV13">
            <v>0.55980399999999997</v>
          </cell>
          <cell r="CW13">
            <v>4.2543639999999998</v>
          </cell>
          <cell r="CX13">
            <v>4.2952125603112838</v>
          </cell>
          <cell r="CY13">
            <v>4.4261746304538647</v>
          </cell>
          <cell r="CZ13">
            <v>4.4700093985736569</v>
          </cell>
          <cell r="DA13">
            <v>4.5065162624538653</v>
          </cell>
          <cell r="DB13">
            <v>4.4835615104538658</v>
          </cell>
          <cell r="DD13" t="str">
            <v>Matimba</v>
          </cell>
          <cell r="DE13">
            <v>0.16</v>
          </cell>
          <cell r="DF13">
            <v>3694.56</v>
          </cell>
          <cell r="DG13">
            <v>3735.408560311284</v>
          </cell>
          <cell r="DH13">
            <v>3866.370630453865</v>
          </cell>
          <cell r="DI13">
            <v>3910.2053985736566</v>
          </cell>
          <cell r="DJ13">
            <v>3946.7122624538652</v>
          </cell>
        </row>
        <row r="14">
          <cell r="U14" t="str">
            <v>Matla</v>
          </cell>
          <cell r="V14">
            <v>23898</v>
          </cell>
          <cell r="W14">
            <v>24658</v>
          </cell>
          <cell r="X14">
            <v>25306.930693069306</v>
          </cell>
          <cell r="Y14">
            <v>25595.940594059408</v>
          </cell>
          <cell r="Z14">
            <v>25745</v>
          </cell>
          <cell r="AA14">
            <v>25943</v>
          </cell>
          <cell r="AB14">
            <v>26423.717256000007</v>
          </cell>
          <cell r="AD14" t="str">
            <v>Matla</v>
          </cell>
          <cell r="AE14">
            <v>0.50173869846000996</v>
          </cell>
          <cell r="AF14">
            <v>0.4914841849148418</v>
          </cell>
          <cell r="AG14">
            <v>0.49680275454992623</v>
          </cell>
          <cell r="AH14">
            <v>0.49680275454992623</v>
          </cell>
          <cell r="AI14">
            <v>0.49680275454992623</v>
          </cell>
          <cell r="AK14" t="str">
            <v>Matla</v>
          </cell>
          <cell r="AL14">
            <v>12697.466467958271</v>
          </cell>
          <cell r="AM14">
            <v>12580</v>
          </cell>
          <cell r="AN14">
            <v>12790.186915887851</v>
          </cell>
          <cell r="AO14">
            <v>12888.553861288736</v>
          </cell>
          <cell r="CT14" t="str">
            <v>Matla</v>
          </cell>
          <cell r="CU14">
            <v>1.96</v>
          </cell>
          <cell r="CV14">
            <v>1.4514750000000001</v>
          </cell>
          <cell r="CW14">
            <v>49.781155000000005</v>
          </cell>
          <cell r="CX14">
            <v>51.053059158415842</v>
          </cell>
          <cell r="CY14">
            <v>51.61951856435644</v>
          </cell>
          <cell r="CZ14">
            <v>51.911675000000002</v>
          </cell>
          <cell r="DA14">
            <v>52.299754999999998</v>
          </cell>
          <cell r="DB14">
            <v>53.241960821760017</v>
          </cell>
          <cell r="DD14" t="str">
            <v>Matla</v>
          </cell>
          <cell r="DE14">
            <v>0.3</v>
          </cell>
          <cell r="DF14">
            <v>7397.4</v>
          </cell>
          <cell r="DG14">
            <v>7592.0792079207913</v>
          </cell>
          <cell r="DH14">
            <v>7678.7821782178216</v>
          </cell>
          <cell r="DI14">
            <v>7723.5</v>
          </cell>
          <cell r="DJ14">
            <v>7782.9</v>
          </cell>
        </row>
        <row r="15">
          <cell r="U15" t="str">
            <v xml:space="preserve">Majuba </v>
          </cell>
          <cell r="V15">
            <v>1231</v>
          </cell>
          <cell r="W15">
            <v>1213</v>
          </cell>
          <cell r="X15">
            <v>1848.5074626865671</v>
          </cell>
          <cell r="Y15">
            <v>3611</v>
          </cell>
          <cell r="Z15">
            <v>4041</v>
          </cell>
          <cell r="AA15">
            <v>4250</v>
          </cell>
          <cell r="AB15">
            <v>5874</v>
          </cell>
          <cell r="AD15" t="str">
            <v>Majuba *</v>
          </cell>
          <cell r="AE15">
            <v>0.52303262955854124</v>
          </cell>
          <cell r="AF15">
            <v>0.51823416506717856</v>
          </cell>
          <cell r="AG15">
            <v>0.51343570057581567</v>
          </cell>
          <cell r="AH15">
            <v>0.50863723608445299</v>
          </cell>
          <cell r="AI15">
            <v>0.50863723608445299</v>
          </cell>
          <cell r="AK15" t="str">
            <v>Majuba *</v>
          </cell>
          <cell r="AL15">
            <v>966.82971896754225</v>
          </cell>
          <cell r="AM15">
            <v>1871.3435700575817</v>
          </cell>
          <cell r="AN15">
            <v>2074.7936660268711</v>
          </cell>
          <cell r="AO15">
            <v>2161.708253358925</v>
          </cell>
          <cell r="CT15" t="str">
            <v>Majuba (1-3)</v>
          </cell>
          <cell r="CU15">
            <v>0.16</v>
          </cell>
          <cell r="CV15">
            <v>0.30326999999999998</v>
          </cell>
          <cell r="CW15">
            <v>0.64230999999999994</v>
          </cell>
          <cell r="CX15">
            <v>0.63909089552238807</v>
          </cell>
          <cell r="CY15">
            <v>0.72192599999999996</v>
          </cell>
          <cell r="CZ15">
            <v>0.62654999999999994</v>
          </cell>
          <cell r="DA15">
            <v>0.64327000000000001</v>
          </cell>
          <cell r="DB15">
            <v>0.77319000000000004</v>
          </cell>
          <cell r="DD15" t="str">
            <v xml:space="preserve">Majuba </v>
          </cell>
          <cell r="DE15">
            <v>0.03</v>
          </cell>
          <cell r="DF15">
            <v>36.39</v>
          </cell>
          <cell r="DG15">
            <v>55.455223880597011</v>
          </cell>
          <cell r="DH15">
            <v>108.33</v>
          </cell>
          <cell r="DI15">
            <v>121.22999999999999</v>
          </cell>
          <cell r="DJ15">
            <v>127.5</v>
          </cell>
        </row>
        <row r="16">
          <cell r="U16" t="str">
            <v>Majuba Pre*</v>
          </cell>
          <cell r="V16">
            <v>902</v>
          </cell>
          <cell r="W16">
            <v>906</v>
          </cell>
          <cell r="X16">
            <v>950</v>
          </cell>
          <cell r="Y16">
            <v>750</v>
          </cell>
          <cell r="Z16">
            <v>0</v>
          </cell>
          <cell r="AA16">
            <v>0</v>
          </cell>
          <cell r="AB16">
            <v>0</v>
          </cell>
          <cell r="AD16" t="str">
            <v>Tutuka</v>
          </cell>
          <cell r="AE16">
            <v>0.4838709677419355</v>
          </cell>
          <cell r="AF16">
            <v>0.48757170172084124</v>
          </cell>
          <cell r="AG16">
            <v>0.47528517110266161</v>
          </cell>
          <cell r="AH16">
            <v>0.48285852245292127</v>
          </cell>
          <cell r="AI16">
            <v>0.48285852245292127</v>
          </cell>
          <cell r="AK16" t="str">
            <v>Tutuka</v>
          </cell>
          <cell r="AL16">
            <v>4663.8165565487752</v>
          </cell>
          <cell r="AM16">
            <v>3799.9999999999995</v>
          </cell>
          <cell r="AN16">
            <v>4300</v>
          </cell>
          <cell r="AO16">
            <v>6168.0347658136161</v>
          </cell>
          <cell r="CT16" t="str">
            <v>Majuba (4-6)</v>
          </cell>
          <cell r="CU16">
            <v>1.8</v>
          </cell>
          <cell r="CV16">
            <v>0</v>
          </cell>
          <cell r="CW16">
            <v>0</v>
          </cell>
          <cell r="CX16">
            <v>1.2593283582089552</v>
          </cell>
          <cell r="CY16">
            <v>3.13992</v>
          </cell>
          <cell r="CZ16">
            <v>3.6369000000000002</v>
          </cell>
          <cell r="DA16">
            <v>3.8250000000000002</v>
          </cell>
          <cell r="DB16">
            <v>5.2866</v>
          </cell>
          <cell r="DD16" t="str">
            <v>Tutuka</v>
          </cell>
          <cell r="DE16">
            <v>0.28000000000000003</v>
          </cell>
          <cell r="DF16">
            <v>3275.1600000000003</v>
          </cell>
          <cell r="DG16">
            <v>2698.7951807228915</v>
          </cell>
          <cell r="DH16">
            <v>2182.2431372549022</v>
          </cell>
          <cell r="DI16">
            <v>2533.2160000000003</v>
          </cell>
          <cell r="DJ16">
            <v>3576.7200000000003</v>
          </cell>
        </row>
        <row r="17">
          <cell r="U17" t="str">
            <v>Tutuka</v>
          </cell>
          <cell r="V17">
            <v>15570</v>
          </cell>
          <cell r="W17">
            <v>11697</v>
          </cell>
          <cell r="X17">
            <v>9638.5542168674692</v>
          </cell>
          <cell r="Y17">
            <v>7793.7254901960787</v>
          </cell>
          <cell r="Z17">
            <v>9047.2000000000007</v>
          </cell>
          <cell r="AA17">
            <v>12774</v>
          </cell>
          <cell r="AB17">
            <v>12259.031999999963</v>
          </cell>
          <cell r="AD17" t="str">
            <v>Majuba **</v>
          </cell>
          <cell r="AE17">
            <v>0.52</v>
          </cell>
          <cell r="AF17">
            <v>0.52</v>
          </cell>
          <cell r="AG17">
            <v>0.52</v>
          </cell>
          <cell r="AH17">
            <v>0.52</v>
          </cell>
          <cell r="AI17">
            <v>0.52</v>
          </cell>
          <cell r="AK17" t="str">
            <v>TOTAL (excl. commissioning)</v>
          </cell>
          <cell r="AL17">
            <v>86790.538253764564</v>
          </cell>
          <cell r="AM17">
            <v>88937.22264766031</v>
          </cell>
          <cell r="AN17">
            <v>91782.283082422058</v>
          </cell>
          <cell r="AO17">
            <v>94225.554877125134</v>
          </cell>
          <cell r="CT17" t="str">
            <v>Tutuka</v>
          </cell>
          <cell r="CU17">
            <v>1.93</v>
          </cell>
          <cell r="CV17">
            <v>1.240909</v>
          </cell>
          <cell r="CW17">
            <v>23.816118999999997</v>
          </cell>
          <cell r="CX17">
            <v>19.843318638554212</v>
          </cell>
          <cell r="CY17">
            <v>16.282799196078432</v>
          </cell>
          <cell r="CZ17">
            <v>18.702005</v>
          </cell>
          <cell r="DA17">
            <v>25.894728999999998</v>
          </cell>
          <cell r="DB17">
            <v>24.900840759999927</v>
          </cell>
          <cell r="DD17" t="str">
            <v>SYSTEM</v>
          </cell>
          <cell r="DE17">
            <v>0.39</v>
          </cell>
          <cell r="DF17">
            <v>66075.759999999995</v>
          </cell>
          <cell r="DG17">
            <v>67024.700159181724</v>
          </cell>
          <cell r="DH17">
            <v>69808.697312525081</v>
          </cell>
          <cell r="DI17">
            <v>71832.770260853707</v>
          </cell>
          <cell r="DJ17">
            <v>73461.226029946323</v>
          </cell>
        </row>
        <row r="18">
          <cell r="U18" t="str">
            <v>THERMAL</v>
          </cell>
          <cell r="V18">
            <v>165474</v>
          </cell>
          <cell r="W18">
            <v>163825</v>
          </cell>
          <cell r="X18">
            <v>164881.15338278652</v>
          </cell>
          <cell r="Y18">
            <v>169444.92098800305</v>
          </cell>
          <cell r="Z18">
            <v>174064.59854405464</v>
          </cell>
          <cell r="AA18">
            <v>179290.5548942122</v>
          </cell>
          <cell r="AB18">
            <v>178366.50213854318</v>
          </cell>
          <cell r="CT18" t="str">
            <v>SYSTEM</v>
          </cell>
          <cell r="CW18">
            <v>235.19713500000003</v>
          </cell>
          <cell r="CX18">
            <v>235.84446212321762</v>
          </cell>
          <cell r="CY18">
            <v>239.73804292732424</v>
          </cell>
          <cell r="CZ18">
            <v>245.25126723010351</v>
          </cell>
          <cell r="DA18">
            <v>254.9954638885647</v>
          </cell>
          <cell r="DB18">
            <v>254.42017036118585</v>
          </cell>
        </row>
        <row r="19">
          <cell r="AD19" t="str">
            <v>Calorific Value - Fuel Procurement (Kumi Chetty)</v>
          </cell>
          <cell r="AK19" t="str">
            <v>Majuba **</v>
          </cell>
          <cell r="AL19">
            <v>494</v>
          </cell>
          <cell r="AM19">
            <v>390</v>
          </cell>
          <cell r="AN19">
            <v>0</v>
          </cell>
          <cell r="AO19">
            <v>0</v>
          </cell>
          <cell r="DD19" t="str">
            <v>Note :</v>
          </cell>
        </row>
        <row r="20">
          <cell r="U20" t="str">
            <v>Koeberg</v>
          </cell>
          <cell r="V20">
            <v>13601.4</v>
          </cell>
          <cell r="W20">
            <v>13493</v>
          </cell>
          <cell r="X20">
            <v>13761</v>
          </cell>
          <cell r="Y20">
            <v>12839</v>
          </cell>
          <cell r="Z20">
            <v>13461</v>
          </cell>
          <cell r="AA20">
            <v>13412</v>
          </cell>
          <cell r="AB20">
            <v>14351</v>
          </cell>
          <cell r="AD20" t="str">
            <v xml:space="preserve">Heat Rates - Operational Engineering (Nigel Volk) </v>
          </cell>
          <cell r="AK20" t="str">
            <v>Majuba #</v>
          </cell>
          <cell r="AL20">
            <v>5</v>
          </cell>
          <cell r="AM20">
            <v>0</v>
          </cell>
          <cell r="AN20">
            <v>0</v>
          </cell>
          <cell r="AO20">
            <v>0</v>
          </cell>
          <cell r="DD20" t="str">
            <v>All emission rates are based on 1998 actual rates.</v>
          </cell>
        </row>
        <row r="21">
          <cell r="U21" t="str">
            <v>NUCLEAR</v>
          </cell>
          <cell r="V21">
            <v>13601.4</v>
          </cell>
          <cell r="W21">
            <v>13493</v>
          </cell>
          <cell r="X21">
            <v>13761</v>
          </cell>
          <cell r="Y21">
            <v>12839</v>
          </cell>
          <cell r="Z21">
            <v>13461</v>
          </cell>
          <cell r="AA21">
            <v>13412</v>
          </cell>
          <cell r="AB21">
            <v>14351</v>
          </cell>
          <cell r="AK21" t="str">
            <v>Total Commissioning  burn</v>
          </cell>
          <cell r="AL21">
            <v>499</v>
          </cell>
          <cell r="AM21">
            <v>390</v>
          </cell>
          <cell r="AN21">
            <v>0</v>
          </cell>
          <cell r="AO21">
            <v>0</v>
          </cell>
          <cell r="CT21" t="str">
            <v>COMMENTS AND ASSUMPTIONS</v>
          </cell>
          <cell r="DD21" t="str">
            <v>Source : Environmental Management</v>
          </cell>
        </row>
        <row r="22">
          <cell r="AK22" t="str">
            <v xml:space="preserve">Majuba Total coal </v>
          </cell>
          <cell r="AL22">
            <v>1465.8297189675422</v>
          </cell>
          <cell r="AM22">
            <v>2261.3435700575819</v>
          </cell>
          <cell r="AN22">
            <v>2074.7936660268711</v>
          </cell>
          <cell r="AO22">
            <v>2161.708253358925</v>
          </cell>
          <cell r="CT22" t="str">
            <v xml:space="preserve">1) Eskom 3rd Parties include Eskom Collieries and other small users at the power stations  </v>
          </cell>
        </row>
        <row r="23">
          <cell r="U23" t="str">
            <v>Gariep</v>
          </cell>
          <cell r="V23">
            <v>748</v>
          </cell>
          <cell r="W23">
            <v>309</v>
          </cell>
          <cell r="X23">
            <v>310</v>
          </cell>
          <cell r="Y23">
            <v>309</v>
          </cell>
          <cell r="Z23">
            <v>243</v>
          </cell>
          <cell r="AA23">
            <v>243</v>
          </cell>
          <cell r="AB23">
            <v>244</v>
          </cell>
          <cell r="AK23" t="str">
            <v>TOTAL (incl. commissioning)</v>
          </cell>
          <cell r="AL23">
            <v>87289.538253764564</v>
          </cell>
          <cell r="AM23">
            <v>89327.22264766031</v>
          </cell>
          <cell r="AN23">
            <v>91782.283082422058</v>
          </cell>
          <cell r="AO23">
            <v>94225.554877125134</v>
          </cell>
          <cell r="CT23" t="str">
            <v xml:space="preserve">    and should be added to the total net water consumption (not rate!) to obtain the total gross  consumption;</v>
          </cell>
        </row>
        <row r="24">
          <cell r="U24" t="str">
            <v xml:space="preserve">Vanderkloof </v>
          </cell>
          <cell r="V24">
            <v>848</v>
          </cell>
          <cell r="W24">
            <v>398</v>
          </cell>
          <cell r="X24">
            <v>210</v>
          </cell>
          <cell r="Y24">
            <v>210</v>
          </cell>
          <cell r="Z24">
            <v>105</v>
          </cell>
          <cell r="AA24">
            <v>105</v>
          </cell>
          <cell r="AB24">
            <v>105</v>
          </cell>
          <cell r="AK24" t="str">
            <v xml:space="preserve"> * Coal burn at station excludes 400 kT for  pre-commercial operation</v>
          </cell>
          <cell r="CT24" t="str">
            <v xml:space="preserve">    these Eskom 3rd Parties are assumed to stay constant and the Hydro &amp; Water Statistics 1997 figures were used. </v>
          </cell>
        </row>
        <row r="25">
          <cell r="U25" t="str">
            <v>Drakensberg</v>
          </cell>
          <cell r="V25">
            <v>1673.4</v>
          </cell>
          <cell r="W25">
            <v>1535</v>
          </cell>
          <cell r="X25">
            <v>1440</v>
          </cell>
          <cell r="Y25">
            <v>1440</v>
          </cell>
          <cell r="Z25">
            <v>1440</v>
          </cell>
          <cell r="AA25">
            <v>1440</v>
          </cell>
          <cell r="AB25">
            <v>1440</v>
          </cell>
          <cell r="AK25" t="str">
            <v>** Majuba coal consumption for commissioning that contributes to system energy</v>
          </cell>
          <cell r="CT25" t="str">
            <v>2) Net Water Consumption Rates obtained from:</v>
          </cell>
        </row>
        <row r="26">
          <cell r="U26" t="str">
            <v xml:space="preserve">Palmiet </v>
          </cell>
          <cell r="V26">
            <v>747.4</v>
          </cell>
          <cell r="W26">
            <v>660</v>
          </cell>
          <cell r="X26">
            <v>600</v>
          </cell>
          <cell r="Y26">
            <v>600</v>
          </cell>
          <cell r="Z26">
            <v>600</v>
          </cell>
          <cell r="AA26">
            <v>600</v>
          </cell>
          <cell r="AB26">
            <v>600</v>
          </cell>
          <cell r="AK26" t="str">
            <v xml:space="preserve"> # Majuba coal consumption for commissioning that does not affect the system energy</v>
          </cell>
          <cell r="CT26" t="str">
            <v xml:space="preserve">    Hydro &amp; Water Statistics 5-year averages, in combination with rates received from TRI and Chemical and Auxiliary </v>
          </cell>
        </row>
        <row r="27">
          <cell r="U27" t="str">
            <v>PEAKING</v>
          </cell>
          <cell r="V27">
            <v>4016.8</v>
          </cell>
          <cell r="W27">
            <v>2902</v>
          </cell>
          <cell r="X27">
            <v>2560</v>
          </cell>
          <cell r="Y27">
            <v>2559</v>
          </cell>
          <cell r="Z27">
            <v>2388</v>
          </cell>
          <cell r="AA27">
            <v>2388</v>
          </cell>
          <cell r="AB27">
            <v>2389</v>
          </cell>
          <cell r="BA27" t="str">
            <v>-- TABLE 6.1 --</v>
          </cell>
          <cell r="BJ27" t="str">
            <v>-- TABLE 6.2 --</v>
          </cell>
          <cell r="CT27" t="str">
            <v xml:space="preserve">    Plant Engineering Division.</v>
          </cell>
        </row>
        <row r="28">
          <cell r="AK28" t="str">
            <v xml:space="preserve">  Source :Majuba Power Station</v>
          </cell>
          <cell r="BA28" t="str">
            <v>ADDITIONAL COAL SOURCES</v>
          </cell>
          <cell r="CT28" t="str">
            <v>3) kWh net = Energy sent out</v>
          </cell>
        </row>
        <row r="29">
          <cell r="U29" t="str">
            <v>Imports</v>
          </cell>
          <cell r="V29">
            <v>2901.4</v>
          </cell>
          <cell r="W29">
            <v>7290</v>
          </cell>
          <cell r="X29">
            <v>8026</v>
          </cell>
          <cell r="Y29">
            <v>8026</v>
          </cell>
          <cell r="Z29">
            <v>8026</v>
          </cell>
          <cell r="AA29">
            <v>8026</v>
          </cell>
          <cell r="AB29">
            <v>12213</v>
          </cell>
          <cell r="BJ29" t="str">
            <v>CONTINGENCIES</v>
          </cell>
          <cell r="CT29" t="str">
            <v xml:space="preserve">4) Water requirements before and during commissioning of units are not taken into account as no reliable estimates  </v>
          </cell>
        </row>
        <row r="30">
          <cell r="U30" t="str">
            <v>IMPORTS</v>
          </cell>
          <cell r="V30">
            <v>2901.4</v>
          </cell>
          <cell r="W30">
            <v>7290</v>
          </cell>
          <cell r="X30">
            <v>8026</v>
          </cell>
          <cell r="Y30">
            <v>8026</v>
          </cell>
          <cell r="Z30">
            <v>8026</v>
          </cell>
          <cell r="AA30">
            <v>8026</v>
          </cell>
          <cell r="AB30">
            <v>12213</v>
          </cell>
          <cell r="BA30" t="str">
            <v>(kTons)</v>
          </cell>
          <cell r="BJ30" t="str">
            <v>(kTons)</v>
          </cell>
          <cell r="CT30" t="str">
            <v xml:space="preserve">    exist at present.</v>
          </cell>
        </row>
        <row r="32">
          <cell r="U32" t="str">
            <v>GROSS ENERGY</v>
          </cell>
          <cell r="V32">
            <v>185993.59999999998</v>
          </cell>
          <cell r="W32">
            <v>187510</v>
          </cell>
          <cell r="X32">
            <v>189228.15338278652</v>
          </cell>
          <cell r="Y32">
            <v>192868.92098800305</v>
          </cell>
          <cell r="Z32">
            <v>197939.59854405464</v>
          </cell>
          <cell r="AA32">
            <v>203116.5548942122</v>
          </cell>
          <cell r="AB32">
            <v>207319.50213854318</v>
          </cell>
          <cell r="BA32" t="str">
            <v>STATION</v>
          </cell>
          <cell r="BB32">
            <v>1997</v>
          </cell>
          <cell r="BC32">
            <v>1998</v>
          </cell>
          <cell r="BD32">
            <v>2000</v>
          </cell>
          <cell r="BE32">
            <v>2001</v>
          </cell>
          <cell r="BF32">
            <v>2002</v>
          </cell>
          <cell r="BG32">
            <v>2003</v>
          </cell>
          <cell r="BH32">
            <v>2004</v>
          </cell>
          <cell r="BJ32" t="str">
            <v>STATION</v>
          </cell>
          <cell r="BK32">
            <v>1999</v>
          </cell>
          <cell r="BL32">
            <v>2000</v>
          </cell>
          <cell r="BM32">
            <v>2001</v>
          </cell>
          <cell r="BN32">
            <v>2002</v>
          </cell>
          <cell r="BO32">
            <v>2003</v>
          </cell>
        </row>
        <row r="33">
          <cell r="BA33" t="str">
            <v>Arnot</v>
          </cell>
          <cell r="BC33">
            <v>0</v>
          </cell>
          <cell r="BD33">
            <v>0</v>
          </cell>
          <cell r="BE33">
            <v>0</v>
          </cell>
          <cell r="BF33">
            <v>0</v>
          </cell>
          <cell r="BG33">
            <v>0</v>
          </cell>
          <cell r="BH33">
            <v>0</v>
          </cell>
          <cell r="BJ33" t="str">
            <v>Arnot</v>
          </cell>
          <cell r="BK33">
            <v>0</v>
          </cell>
          <cell r="BL33">
            <v>0</v>
          </cell>
          <cell r="BM33">
            <v>0</v>
          </cell>
          <cell r="BN33">
            <v>0</v>
          </cell>
          <cell r="BO33">
            <v>0</v>
          </cell>
        </row>
        <row r="34">
          <cell r="U34" t="str">
            <v>-PUMP</v>
          </cell>
          <cell r="V34">
            <v>3207.5</v>
          </cell>
          <cell r="W34">
            <v>2928.4</v>
          </cell>
          <cell r="X34">
            <v>2735</v>
          </cell>
          <cell r="Y34">
            <v>2735</v>
          </cell>
          <cell r="Z34">
            <v>2735</v>
          </cell>
          <cell r="AA34">
            <v>2735</v>
          </cell>
          <cell r="AB34">
            <v>2735</v>
          </cell>
          <cell r="BA34" t="str">
            <v xml:space="preserve">Duvha </v>
          </cell>
          <cell r="BC34">
            <v>0</v>
          </cell>
          <cell r="BD34">
            <v>0</v>
          </cell>
          <cell r="BE34">
            <v>0</v>
          </cell>
          <cell r="BF34">
            <v>0</v>
          </cell>
          <cell r="BG34">
            <v>0</v>
          </cell>
          <cell r="BH34">
            <v>0</v>
          </cell>
          <cell r="BJ34" t="str">
            <v>Duvha</v>
          </cell>
          <cell r="BK34">
            <v>0</v>
          </cell>
          <cell r="BL34">
            <v>0</v>
          </cell>
          <cell r="BM34">
            <v>0</v>
          </cell>
          <cell r="BN34">
            <v>0</v>
          </cell>
          <cell r="BO34">
            <v>0</v>
          </cell>
        </row>
        <row r="35">
          <cell r="U35" t="str">
            <v>-DWA</v>
          </cell>
          <cell r="V35">
            <v>336.5</v>
          </cell>
          <cell r="W35">
            <v>24.4</v>
          </cell>
          <cell r="X35">
            <v>178</v>
          </cell>
          <cell r="Y35">
            <v>482</v>
          </cell>
          <cell r="Z35">
            <v>482</v>
          </cell>
          <cell r="AA35">
            <v>482</v>
          </cell>
          <cell r="AB35">
            <v>482</v>
          </cell>
          <cell r="BA35" t="str">
            <v xml:space="preserve">Hendrina </v>
          </cell>
          <cell r="BC35">
            <v>0</v>
          </cell>
          <cell r="BD35">
            <v>0</v>
          </cell>
          <cell r="BE35">
            <v>0</v>
          </cell>
          <cell r="BF35">
            <v>0</v>
          </cell>
          <cell r="BG35">
            <v>0</v>
          </cell>
          <cell r="BH35">
            <v>0</v>
          </cell>
          <cell r="BJ35" t="str">
            <v>Hendrina</v>
          </cell>
          <cell r="BK35">
            <v>0</v>
          </cell>
          <cell r="BL35">
            <v>0</v>
          </cell>
          <cell r="BM35">
            <v>0</v>
          </cell>
          <cell r="BN35">
            <v>0</v>
          </cell>
          <cell r="BO35">
            <v>0</v>
          </cell>
        </row>
        <row r="36">
          <cell r="U36" t="str">
            <v>NET ENERGY</v>
          </cell>
          <cell r="V36">
            <v>182449.59999999998</v>
          </cell>
          <cell r="W36">
            <v>184557.2</v>
          </cell>
          <cell r="X36">
            <v>186315.15338278652</v>
          </cell>
          <cell r="Y36">
            <v>189651.92098800305</v>
          </cell>
          <cell r="Z36">
            <v>194722.59854405464</v>
          </cell>
          <cell r="AA36">
            <v>199899.5548942122</v>
          </cell>
          <cell r="AB36">
            <v>204102.50213854318</v>
          </cell>
          <cell r="BA36" t="str">
            <v xml:space="preserve">Kendal </v>
          </cell>
          <cell r="BC36">
            <v>0</v>
          </cell>
          <cell r="BD36">
            <v>0</v>
          </cell>
          <cell r="BE36">
            <v>0</v>
          </cell>
          <cell r="BF36">
            <v>0</v>
          </cell>
          <cell r="BG36">
            <v>0</v>
          </cell>
          <cell r="BH36">
            <v>0</v>
          </cell>
          <cell r="BJ36" t="str">
            <v>Kendal</v>
          </cell>
          <cell r="BK36">
            <v>0</v>
          </cell>
          <cell r="BL36">
            <v>0</v>
          </cell>
          <cell r="BM36">
            <v>0</v>
          </cell>
          <cell r="BN36">
            <v>0</v>
          </cell>
          <cell r="BO36">
            <v>0</v>
          </cell>
        </row>
        <row r="37">
          <cell r="BA37" t="str">
            <v xml:space="preserve">Kriel </v>
          </cell>
          <cell r="BC37">
            <v>0</v>
          </cell>
          <cell r="BD37">
            <v>0</v>
          </cell>
          <cell r="BE37">
            <v>0</v>
          </cell>
          <cell r="BF37">
            <v>0</v>
          </cell>
          <cell r="BG37">
            <v>0</v>
          </cell>
          <cell r="BH37">
            <v>0</v>
          </cell>
          <cell r="BJ37" t="str">
            <v>Kriel</v>
          </cell>
          <cell r="BK37">
            <v>0</v>
          </cell>
          <cell r="BL37">
            <v>0</v>
          </cell>
          <cell r="BM37">
            <v>0</v>
          </cell>
          <cell r="BN37">
            <v>0</v>
          </cell>
          <cell r="BO37">
            <v>0</v>
          </cell>
        </row>
        <row r="38">
          <cell r="BA38" t="str">
            <v xml:space="preserve">Lethabo </v>
          </cell>
          <cell r="BC38">
            <v>0</v>
          </cell>
          <cell r="BD38">
            <v>0</v>
          </cell>
          <cell r="BE38">
            <v>0</v>
          </cell>
          <cell r="BF38">
            <v>0</v>
          </cell>
          <cell r="BG38">
            <v>0</v>
          </cell>
          <cell r="BH38">
            <v>0</v>
          </cell>
          <cell r="BJ38" t="str">
            <v>Lethabo</v>
          </cell>
          <cell r="BK38">
            <v>0</v>
          </cell>
          <cell r="BL38">
            <v>0</v>
          </cell>
          <cell r="BM38">
            <v>0</v>
          </cell>
          <cell r="BN38">
            <v>0</v>
          </cell>
          <cell r="BO38">
            <v>0</v>
          </cell>
        </row>
        <row r="39">
          <cell r="BA39" t="str">
            <v xml:space="preserve">Matimba </v>
          </cell>
          <cell r="BC39">
            <v>0</v>
          </cell>
          <cell r="BD39">
            <v>0</v>
          </cell>
          <cell r="BE39">
            <v>0</v>
          </cell>
          <cell r="BF39">
            <v>0</v>
          </cell>
          <cell r="BG39">
            <v>0</v>
          </cell>
          <cell r="BH39">
            <v>0</v>
          </cell>
          <cell r="BJ39" t="str">
            <v>Matimba</v>
          </cell>
          <cell r="BK39">
            <v>0</v>
          </cell>
          <cell r="BL39">
            <v>0</v>
          </cell>
          <cell r="BM39">
            <v>0</v>
          </cell>
          <cell r="BN39">
            <v>0</v>
          </cell>
          <cell r="BO39">
            <v>0</v>
          </cell>
        </row>
        <row r="40">
          <cell r="BA40" t="str">
            <v>Matla</v>
          </cell>
          <cell r="BC40">
            <v>0</v>
          </cell>
          <cell r="BD40">
            <v>0</v>
          </cell>
          <cell r="BE40">
            <v>0</v>
          </cell>
          <cell r="BF40">
            <v>0</v>
          </cell>
          <cell r="BG40">
            <v>0</v>
          </cell>
          <cell r="BH40">
            <v>0</v>
          </cell>
          <cell r="BJ40" t="str">
            <v>Matla</v>
          </cell>
          <cell r="BK40">
            <v>0</v>
          </cell>
          <cell r="BL40">
            <v>0</v>
          </cell>
          <cell r="BM40">
            <v>0</v>
          </cell>
          <cell r="BN40">
            <v>0</v>
          </cell>
          <cell r="BO40">
            <v>0</v>
          </cell>
        </row>
        <row r="41">
          <cell r="BA41" t="str">
            <v xml:space="preserve">Majuba </v>
          </cell>
          <cell r="BC41">
            <v>0</v>
          </cell>
          <cell r="BD41">
            <v>0</v>
          </cell>
          <cell r="BE41">
            <v>0</v>
          </cell>
          <cell r="BF41">
            <v>0</v>
          </cell>
          <cell r="BG41">
            <v>0</v>
          </cell>
          <cell r="BH41">
            <v>0</v>
          </cell>
          <cell r="BJ41" t="str">
            <v xml:space="preserve">Majuba </v>
          </cell>
          <cell r="BK41">
            <v>0</v>
          </cell>
          <cell r="BL41">
            <v>0</v>
          </cell>
          <cell r="BM41">
            <v>0</v>
          </cell>
          <cell r="BN41">
            <v>0</v>
          </cell>
          <cell r="BO41">
            <v>0</v>
          </cell>
        </row>
        <row r="42">
          <cell r="BA42" t="str">
            <v>Tutuka</v>
          </cell>
          <cell r="BC42">
            <v>0</v>
          </cell>
          <cell r="BD42">
            <v>0</v>
          </cell>
          <cell r="BE42">
            <v>0</v>
          </cell>
          <cell r="BF42">
            <v>0</v>
          </cell>
          <cell r="BG42">
            <v>0</v>
          </cell>
          <cell r="BH42">
            <v>0</v>
          </cell>
          <cell r="BJ42" t="str">
            <v>Tutuka</v>
          </cell>
          <cell r="BK42">
            <v>0</v>
          </cell>
          <cell r="BL42">
            <v>0</v>
          </cell>
          <cell r="BM42">
            <v>0</v>
          </cell>
          <cell r="BN42">
            <v>0</v>
          </cell>
          <cell r="BO42">
            <v>0</v>
          </cell>
        </row>
        <row r="43">
          <cell r="BA43" t="str">
            <v>TOTAL</v>
          </cell>
          <cell r="BB43">
            <v>0</v>
          </cell>
          <cell r="BC43">
            <v>0</v>
          </cell>
          <cell r="BD43">
            <v>0</v>
          </cell>
          <cell r="BE43">
            <v>0</v>
          </cell>
          <cell r="BF43">
            <v>0</v>
          </cell>
          <cell r="BG43">
            <v>0</v>
          </cell>
          <cell r="BH43">
            <v>0</v>
          </cell>
          <cell r="BJ43" t="str">
            <v>TOTAL</v>
          </cell>
          <cell r="BK43">
            <v>0</v>
          </cell>
          <cell r="BL43">
            <v>0</v>
          </cell>
          <cell r="BM43">
            <v>0</v>
          </cell>
          <cell r="BN43">
            <v>0</v>
          </cell>
          <cell r="BO43">
            <v>0</v>
          </cell>
        </row>
      </sheetData>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C SLIDES"/>
      <sheetName val="SUMMARY"/>
      <sheetName val="June Variance"/>
      <sheetName val="EDD FCST "/>
      <sheetName val="MATIMBA"/>
      <sheetName val="Sheet1"/>
      <sheetName val="Sheet2"/>
      <sheetName val="BURN RATE CHANGES"/>
      <sheetName val="WORKS POWER"/>
      <sheetName val="SDB Differences"/>
      <sheetName val="fcst changes"/>
      <sheetName val="fcst"/>
      <sheetName val="BR"/>
      <sheetName val="JAN Dev."/>
      <sheetName val="1999 PLAN"/>
      <sheetName val="July Deviation"/>
      <sheetName val="rev 4 to rev 3"/>
      <sheetName val="rev 3 to rev 2"/>
      <sheetName val="rev1 to rev 3"/>
      <sheetName val="99 AVAIL"/>
      <sheetName val="PCLF"/>
      <sheetName val="PCLF_REV1"/>
      <sheetName val="DELIVERY_99"/>
      <sheetName val="Appendix D "/>
      <sheetName val="DELIVERY_8"/>
      <sheetName val="DELIVERY_7"/>
      <sheetName val="DELIVERY(REV5)"/>
      <sheetName val="Appendix D"/>
      <sheetName val="Module1"/>
      <sheetName val="Module2"/>
      <sheetName val="Info1"/>
      <sheetName val="Info2"/>
      <sheetName val="Info3"/>
      <sheetName val="Info4"/>
      <sheetName val="Chart1"/>
      <sheetName val="Chart1 YTD"/>
      <sheetName val="Chart2"/>
      <sheetName val="Chart3"/>
      <sheetName val="Chart3 YTD"/>
      <sheetName val="Chart4"/>
      <sheetName val="Energy"/>
      <sheetName val="Sheet4"/>
      <sheetName val="Sheet3"/>
      <sheetName val="Burn Rates"/>
      <sheetName val="Asset Efficiency"/>
      <sheetName val="COALlink_OREXConcessioning"/>
      <sheetName val="OREX"/>
      <sheetName val="SelectedDemand"/>
      <sheetName val="Labour Efficiency"/>
      <sheetName val="Other Efficiency"/>
      <sheetName val="FormValueLists"/>
      <sheetName val="CAPEX "/>
      <sheetName val="2004 proj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A1" t="str">
            <v>-- TABLE 1 --</v>
          </cell>
          <cell r="S1" t="str">
            <v>-- TABLE 2 --</v>
          </cell>
          <cell r="AL1" t="str">
            <v>-- TABLE 3 --</v>
          </cell>
          <cell r="BD1" t="str">
            <v>-- TABLE 4 --</v>
          </cell>
          <cell r="BS1" t="str">
            <v>-- TABLE 5 --</v>
          </cell>
          <cell r="CH1" t="str">
            <v>-- TABLE 6 --</v>
          </cell>
          <cell r="CV1" t="str">
            <v>-- TABLE 7 --</v>
          </cell>
          <cell r="DJ1" t="str">
            <v>-- TABLE 8 --</v>
          </cell>
          <cell r="DY1" t="str">
            <v>-- TABLE 9 --</v>
          </cell>
          <cell r="FC1" t="str">
            <v>-- TABLE 10 --</v>
          </cell>
        </row>
        <row r="3">
          <cell r="A3" t="str">
            <v>MONTHLY STATION ENERGY SENT OUT (GWh) FOR 1999</v>
          </cell>
          <cell r="S3" t="str">
            <v>COAL BURN  (kT) FOR 1999</v>
          </cell>
          <cell r="AL3" t="str">
            <v>COAL AVAILABLE AT STATIONS (Excluding Stockpile)  (kT) FOR 1999</v>
          </cell>
          <cell r="BD3" t="str">
            <v>COAL STOCKPILE (Days) FOR 1999</v>
          </cell>
          <cell r="BS3" t="str">
            <v>COAL STOCKPILE (kT) FOR 1999</v>
          </cell>
          <cell r="CH3" t="str">
            <v>STANDARD DAILY BURN (kT/Day) FOR 1999</v>
          </cell>
          <cell r="CV3" t="str">
            <v>STATION INSTALLED CAPACITY (MW) FOR 1999</v>
          </cell>
          <cell r="DJ3" t="str">
            <v>STATION ENERGY AVAILABILITY FACTOR (%) FOR 1999</v>
          </cell>
          <cell r="DY3" t="str">
            <v>STATION ENERGY UTILISATION FACTOR (%) FOR 1999</v>
          </cell>
          <cell r="FC3" t="str">
            <v>ESKOM STATION GROSS WATER CONSUMPTION (Mm3) FOR 1999</v>
          </cell>
        </row>
        <row r="5">
          <cell r="B5" t="str">
            <v>JAN</v>
          </cell>
          <cell r="C5" t="str">
            <v>FEB</v>
          </cell>
          <cell r="D5" t="str">
            <v>MAR</v>
          </cell>
          <cell r="E5" t="str">
            <v>APR</v>
          </cell>
          <cell r="F5" t="str">
            <v>MAY</v>
          </cell>
          <cell r="G5" t="str">
            <v>JUN</v>
          </cell>
          <cell r="H5" t="str">
            <v>JUL</v>
          </cell>
          <cell r="I5" t="str">
            <v>AUG</v>
          </cell>
          <cell r="J5" t="str">
            <v>SEP</v>
          </cell>
          <cell r="K5" t="str">
            <v>OCT</v>
          </cell>
          <cell r="L5" t="str">
            <v>NOV</v>
          </cell>
          <cell r="M5" t="str">
            <v>DEC</v>
          </cell>
          <cell r="N5" t="str">
            <v xml:space="preserve"> YEAR</v>
          </cell>
          <cell r="O5" t="str">
            <v>TOTAL</v>
          </cell>
          <cell r="P5" t="str">
            <v>VAR</v>
          </cell>
          <cell r="Q5" t="str">
            <v>% VAR</v>
          </cell>
          <cell r="T5" t="str">
            <v xml:space="preserve">BURN </v>
          </cell>
          <cell r="U5" t="str">
            <v>JAN</v>
          </cell>
          <cell r="V5" t="str">
            <v>FEB</v>
          </cell>
          <cell r="W5" t="str">
            <v>MAR</v>
          </cell>
          <cell r="X5" t="str">
            <v>APR</v>
          </cell>
          <cell r="Y5" t="str">
            <v>MAY</v>
          </cell>
          <cell r="Z5" t="str">
            <v>JUN</v>
          </cell>
          <cell r="AA5" t="str">
            <v>JUL</v>
          </cell>
          <cell r="AB5" t="str">
            <v>AUG</v>
          </cell>
          <cell r="AC5" t="str">
            <v>SEP</v>
          </cell>
          <cell r="AD5" t="str">
            <v>OCT</v>
          </cell>
          <cell r="AE5" t="str">
            <v>NOV</v>
          </cell>
          <cell r="AF5" t="str">
            <v>DEC</v>
          </cell>
          <cell r="AG5" t="str">
            <v>YEAR</v>
          </cell>
          <cell r="AH5" t="str">
            <v>TOTAL</v>
          </cell>
          <cell r="AI5" t="str">
            <v>VAR</v>
          </cell>
          <cell r="AJ5" t="str">
            <v>% VAR</v>
          </cell>
          <cell r="AM5" t="str">
            <v>JAN</v>
          </cell>
          <cell r="AN5" t="str">
            <v>FEB</v>
          </cell>
          <cell r="AO5" t="str">
            <v>MAR</v>
          </cell>
          <cell r="AP5" t="str">
            <v>APR</v>
          </cell>
          <cell r="AQ5" t="str">
            <v>MAY</v>
          </cell>
          <cell r="AR5" t="str">
            <v>JUN</v>
          </cell>
          <cell r="AS5" t="str">
            <v>JUL</v>
          </cell>
          <cell r="AT5" t="str">
            <v>AUG</v>
          </cell>
          <cell r="AU5" t="str">
            <v>SEP</v>
          </cell>
          <cell r="AV5" t="str">
            <v>OCT</v>
          </cell>
          <cell r="AW5" t="str">
            <v>NOV</v>
          </cell>
          <cell r="AX5" t="str">
            <v>DEC</v>
          </cell>
          <cell r="AY5" t="str">
            <v xml:space="preserve"> YEAR</v>
          </cell>
          <cell r="AZ5" t="str">
            <v>TOTAL</v>
          </cell>
          <cell r="BA5" t="str">
            <v>VAR</v>
          </cell>
          <cell r="BB5" t="str">
            <v>% VAR</v>
          </cell>
          <cell r="BE5" t="str">
            <v>98 YEAR</v>
          </cell>
          <cell r="BF5" t="str">
            <v>JAN</v>
          </cell>
          <cell r="BG5" t="str">
            <v>FEB</v>
          </cell>
          <cell r="BH5" t="str">
            <v>MAR</v>
          </cell>
          <cell r="BI5" t="str">
            <v>APR</v>
          </cell>
          <cell r="BJ5" t="str">
            <v>MAY</v>
          </cell>
          <cell r="BK5" t="str">
            <v>JUN</v>
          </cell>
          <cell r="BL5" t="str">
            <v>JUL</v>
          </cell>
          <cell r="BM5" t="str">
            <v>AUG</v>
          </cell>
          <cell r="BN5" t="str">
            <v>SEP</v>
          </cell>
          <cell r="BO5" t="str">
            <v>OCT</v>
          </cell>
          <cell r="BP5" t="str">
            <v>NOV</v>
          </cell>
          <cell r="BQ5" t="str">
            <v>DEC</v>
          </cell>
          <cell r="BT5" t="str">
            <v>98 YEAR</v>
          </cell>
          <cell r="BU5" t="str">
            <v>JAN</v>
          </cell>
          <cell r="BV5" t="str">
            <v>FEB</v>
          </cell>
          <cell r="BW5" t="str">
            <v>MAR</v>
          </cell>
          <cell r="BX5" t="str">
            <v>APR</v>
          </cell>
          <cell r="BY5" t="str">
            <v>MAY</v>
          </cell>
          <cell r="BZ5" t="str">
            <v>JUN</v>
          </cell>
          <cell r="CA5" t="str">
            <v>JUL</v>
          </cell>
          <cell r="CB5" t="str">
            <v>AUG</v>
          </cell>
          <cell r="CC5" t="str">
            <v>SEP</v>
          </cell>
          <cell r="CD5" t="str">
            <v>OCT</v>
          </cell>
          <cell r="CE5" t="str">
            <v>NOV</v>
          </cell>
          <cell r="CF5" t="str">
            <v>DEC</v>
          </cell>
          <cell r="CI5" t="str">
            <v>JAN</v>
          </cell>
          <cell r="CJ5" t="str">
            <v>FEB</v>
          </cell>
          <cell r="CK5" t="str">
            <v>MAR</v>
          </cell>
          <cell r="CL5" t="str">
            <v>APR</v>
          </cell>
          <cell r="CM5" t="str">
            <v>MAY</v>
          </cell>
          <cell r="CN5" t="str">
            <v>JUN</v>
          </cell>
          <cell r="CO5" t="str">
            <v>JUL</v>
          </cell>
          <cell r="CP5" t="str">
            <v>AUG</v>
          </cell>
          <cell r="CQ5" t="str">
            <v>SEP</v>
          </cell>
          <cell r="CR5" t="str">
            <v>OCT</v>
          </cell>
          <cell r="CS5" t="str">
            <v>NOV</v>
          </cell>
          <cell r="CT5" t="str">
            <v>DEC</v>
          </cell>
          <cell r="CW5" t="str">
            <v>JAN</v>
          </cell>
          <cell r="CX5" t="str">
            <v>FEB</v>
          </cell>
          <cell r="CY5" t="str">
            <v>MAR</v>
          </cell>
          <cell r="CZ5" t="str">
            <v>APR</v>
          </cell>
          <cell r="DA5" t="str">
            <v>MAY</v>
          </cell>
          <cell r="DB5" t="str">
            <v>JUN</v>
          </cell>
          <cell r="DC5" t="str">
            <v>JUL</v>
          </cell>
          <cell r="DD5" t="str">
            <v>AUG</v>
          </cell>
          <cell r="DE5" t="str">
            <v>SEP</v>
          </cell>
          <cell r="DF5" t="str">
            <v>OCT</v>
          </cell>
          <cell r="DG5" t="str">
            <v>NOV</v>
          </cell>
          <cell r="DH5" t="str">
            <v>DEC</v>
          </cell>
          <cell r="DK5" t="str">
            <v>JAN</v>
          </cell>
          <cell r="DL5" t="str">
            <v>FEB</v>
          </cell>
          <cell r="DM5" t="str">
            <v>MAR</v>
          </cell>
          <cell r="DN5" t="str">
            <v>APR</v>
          </cell>
          <cell r="DO5" t="str">
            <v>MAY</v>
          </cell>
          <cell r="DP5" t="str">
            <v>JUN</v>
          </cell>
          <cell r="DQ5" t="str">
            <v>JUL</v>
          </cell>
          <cell r="DR5" t="str">
            <v>AUG</v>
          </cell>
          <cell r="DS5" t="str">
            <v>SEP</v>
          </cell>
          <cell r="DT5" t="str">
            <v>OCT</v>
          </cell>
          <cell r="DU5" t="str">
            <v>NOV</v>
          </cell>
          <cell r="DV5" t="str">
            <v>DEC</v>
          </cell>
          <cell r="DW5" t="str">
            <v>YEAR</v>
          </cell>
          <cell r="DZ5" t="str">
            <v>JAN</v>
          </cell>
          <cell r="EA5" t="str">
            <v>FEB</v>
          </cell>
          <cell r="EB5" t="str">
            <v>MAR</v>
          </cell>
          <cell r="EC5" t="str">
            <v>APR</v>
          </cell>
          <cell r="ED5" t="str">
            <v>MAY</v>
          </cell>
          <cell r="EE5" t="str">
            <v>JUN</v>
          </cell>
          <cell r="EF5" t="str">
            <v>JUL</v>
          </cell>
          <cell r="EG5" t="str">
            <v>AUG</v>
          </cell>
          <cell r="EH5" t="str">
            <v>SEP</v>
          </cell>
          <cell r="EI5" t="str">
            <v>OCT</v>
          </cell>
          <cell r="EJ5" t="str">
            <v>NOV</v>
          </cell>
          <cell r="EK5" t="str">
            <v>DEC</v>
          </cell>
          <cell r="EL5" t="str">
            <v>AVG.</v>
          </cell>
          <cell r="FD5" t="str">
            <v>Net Cons. Rate</v>
          </cell>
          <cell r="FE5" t="str">
            <v>3rd Party</v>
          </cell>
          <cell r="FF5" t="str">
            <v>JAN</v>
          </cell>
          <cell r="FG5" t="str">
            <v>FEB</v>
          </cell>
          <cell r="FH5" t="str">
            <v>MAR</v>
          </cell>
          <cell r="FI5" t="str">
            <v>APR</v>
          </cell>
          <cell r="FJ5" t="str">
            <v>MAY</v>
          </cell>
          <cell r="FK5" t="str">
            <v>JUN</v>
          </cell>
          <cell r="FL5" t="str">
            <v>JUL</v>
          </cell>
          <cell r="FM5" t="str">
            <v>AUG</v>
          </cell>
          <cell r="FN5" t="str">
            <v>SEP</v>
          </cell>
          <cell r="FO5" t="str">
            <v>OCT</v>
          </cell>
          <cell r="FP5" t="str">
            <v>NOV</v>
          </cell>
          <cell r="FQ5" t="str">
            <v>DEC</v>
          </cell>
          <cell r="FR5" t="str">
            <v>YEAR</v>
          </cell>
        </row>
        <row r="6">
          <cell r="A6" t="str">
            <v>COAL STATIONS</v>
          </cell>
          <cell r="B6" t="str">
            <v>ACT</v>
          </cell>
          <cell r="C6" t="str">
            <v>PLAN</v>
          </cell>
          <cell r="D6" t="str">
            <v>PLAN</v>
          </cell>
          <cell r="E6" t="str">
            <v>PLAN</v>
          </cell>
          <cell r="F6" t="str">
            <v>PLAN</v>
          </cell>
          <cell r="G6" t="str">
            <v>PLAN</v>
          </cell>
          <cell r="H6" t="str">
            <v>PLAN</v>
          </cell>
          <cell r="I6" t="str">
            <v>PLAN</v>
          </cell>
          <cell r="J6" t="str">
            <v>PLAN</v>
          </cell>
          <cell r="K6" t="str">
            <v>PLAN</v>
          </cell>
          <cell r="L6" t="str">
            <v>PLAN</v>
          </cell>
          <cell r="M6" t="str">
            <v>PLAN</v>
          </cell>
          <cell r="N6" t="str">
            <v>TOTAL</v>
          </cell>
          <cell r="O6" t="str">
            <v>Rev.1A</v>
          </cell>
          <cell r="S6" t="str">
            <v>STATIONS</v>
          </cell>
          <cell r="T6" t="str">
            <v>RATE</v>
          </cell>
          <cell r="U6" t="str">
            <v>ACT</v>
          </cell>
          <cell r="V6" t="str">
            <v>PLAN</v>
          </cell>
          <cell r="W6" t="str">
            <v>PLAN</v>
          </cell>
          <cell r="X6" t="str">
            <v>PLAN</v>
          </cell>
          <cell r="Y6" t="str">
            <v>PLAN</v>
          </cell>
          <cell r="Z6" t="str">
            <v>PLAN</v>
          </cell>
          <cell r="AA6" t="str">
            <v>PLAN</v>
          </cell>
          <cell r="AB6" t="str">
            <v>PLAN</v>
          </cell>
          <cell r="AC6" t="str">
            <v>PLAN</v>
          </cell>
          <cell r="AD6" t="str">
            <v>PLAN</v>
          </cell>
          <cell r="AE6" t="str">
            <v>PLAN</v>
          </cell>
          <cell r="AF6" t="str">
            <v>PLAN</v>
          </cell>
          <cell r="AG6" t="str">
            <v>TOTAL</v>
          </cell>
          <cell r="AH6" t="str">
            <v>Budget Rev.0</v>
          </cell>
          <cell r="AL6" t="str">
            <v>STATIONS</v>
          </cell>
          <cell r="AM6" t="str">
            <v>ACT</v>
          </cell>
          <cell r="AN6" t="str">
            <v>PLAN</v>
          </cell>
          <cell r="AO6" t="str">
            <v>PLAN</v>
          </cell>
          <cell r="AP6" t="str">
            <v>PLAN</v>
          </cell>
          <cell r="AQ6" t="str">
            <v>PLAN</v>
          </cell>
          <cell r="AR6" t="str">
            <v>PLAN</v>
          </cell>
          <cell r="AS6" t="str">
            <v>PLAN</v>
          </cell>
          <cell r="AT6" t="str">
            <v>PLAN</v>
          </cell>
          <cell r="AU6" t="str">
            <v>PLAN</v>
          </cell>
          <cell r="AV6" t="str">
            <v>PLAN</v>
          </cell>
          <cell r="AW6" t="str">
            <v>PLAN</v>
          </cell>
          <cell r="AX6" t="str">
            <v>PLAN</v>
          </cell>
          <cell r="AY6" t="str">
            <v>TOTAL</v>
          </cell>
          <cell r="AZ6" t="str">
            <v>(98Rev01)</v>
          </cell>
          <cell r="BD6" t="str">
            <v>STATIONS</v>
          </cell>
          <cell r="BE6" t="str">
            <v>END</v>
          </cell>
          <cell r="BF6" t="str">
            <v>ACT</v>
          </cell>
          <cell r="BG6" t="str">
            <v>PLAN</v>
          </cell>
          <cell r="BH6" t="str">
            <v>PLAN</v>
          </cell>
          <cell r="BI6" t="str">
            <v>PLAN</v>
          </cell>
          <cell r="BJ6" t="str">
            <v>PLAN</v>
          </cell>
          <cell r="BK6" t="str">
            <v>PLAN</v>
          </cell>
          <cell r="BL6" t="str">
            <v>PLAN</v>
          </cell>
          <cell r="BM6" t="str">
            <v>PLAN</v>
          </cell>
          <cell r="BN6" t="str">
            <v>PLAN</v>
          </cell>
          <cell r="BO6" t="str">
            <v>PLAN</v>
          </cell>
          <cell r="BP6" t="str">
            <v>PLAN</v>
          </cell>
          <cell r="BQ6" t="str">
            <v>PLAN</v>
          </cell>
          <cell r="BS6" t="str">
            <v>STATIONS</v>
          </cell>
          <cell r="BT6" t="str">
            <v>END*</v>
          </cell>
          <cell r="BU6" t="str">
            <v>ACT</v>
          </cell>
          <cell r="BV6" t="str">
            <v>PLAN</v>
          </cell>
          <cell r="BW6" t="str">
            <v>PLAN</v>
          </cell>
          <cell r="BX6" t="str">
            <v>PLAN</v>
          </cell>
          <cell r="BY6" t="str">
            <v>PLAN</v>
          </cell>
          <cell r="BZ6" t="str">
            <v>PLAN</v>
          </cell>
          <cell r="CA6" t="str">
            <v>PLAN</v>
          </cell>
          <cell r="CB6" t="str">
            <v>PLAN</v>
          </cell>
          <cell r="CC6" t="str">
            <v>PLAN</v>
          </cell>
          <cell r="CD6" t="str">
            <v>PLAN</v>
          </cell>
          <cell r="CE6" t="str">
            <v>PLAN</v>
          </cell>
          <cell r="CF6" t="str">
            <v>PLAN</v>
          </cell>
          <cell r="CH6" t="str">
            <v>STATIONS</v>
          </cell>
          <cell r="CV6" t="str">
            <v>COAL STATIONS</v>
          </cell>
          <cell r="DJ6" t="str">
            <v>COAL STATIONS</v>
          </cell>
          <cell r="DK6" t="str">
            <v>Plan</v>
          </cell>
          <cell r="DL6" t="str">
            <v>Plan</v>
          </cell>
          <cell r="DM6" t="str">
            <v>Plan</v>
          </cell>
          <cell r="DN6" t="str">
            <v>Plan</v>
          </cell>
          <cell r="DO6" t="str">
            <v>Plan</v>
          </cell>
          <cell r="DP6" t="str">
            <v>Plan</v>
          </cell>
          <cell r="DQ6" t="str">
            <v>Plan</v>
          </cell>
          <cell r="DR6" t="str">
            <v>Plan</v>
          </cell>
          <cell r="DS6" t="str">
            <v>Plan</v>
          </cell>
          <cell r="DT6" t="str">
            <v>Plan</v>
          </cell>
          <cell r="DU6" t="str">
            <v>Plan</v>
          </cell>
          <cell r="DV6" t="str">
            <v>Plan</v>
          </cell>
          <cell r="DY6" t="str">
            <v>COAL STATIONS</v>
          </cell>
          <cell r="DZ6" t="str">
            <v>Plan</v>
          </cell>
          <cell r="EA6" t="str">
            <v>Plan</v>
          </cell>
          <cell r="EB6" t="str">
            <v>Plan</v>
          </cell>
          <cell r="EC6" t="str">
            <v>Plan</v>
          </cell>
          <cell r="ED6" t="str">
            <v>Plan</v>
          </cell>
          <cell r="EE6" t="str">
            <v>Plan</v>
          </cell>
          <cell r="EF6" t="str">
            <v>Plan</v>
          </cell>
          <cell r="EG6" t="str">
            <v>Plan</v>
          </cell>
          <cell r="EH6" t="str">
            <v>Plan</v>
          </cell>
          <cell r="EI6" t="str">
            <v>Plan</v>
          </cell>
          <cell r="EJ6" t="str">
            <v>Plan</v>
          </cell>
          <cell r="EK6" t="str">
            <v>Plan</v>
          </cell>
          <cell r="FC6" t="str">
            <v>COAL STATIONS</v>
          </cell>
          <cell r="FD6" t="str">
            <v>(l/kWh net)</v>
          </cell>
          <cell r="FE6" t="str">
            <v>Mm3/a</v>
          </cell>
          <cell r="FF6" t="str">
            <v>Plan</v>
          </cell>
          <cell r="FG6" t="str">
            <v>Plan</v>
          </cell>
          <cell r="FH6" t="str">
            <v>Plan</v>
          </cell>
          <cell r="FI6" t="str">
            <v>Plan</v>
          </cell>
          <cell r="FJ6" t="str">
            <v>Plan</v>
          </cell>
          <cell r="FK6" t="str">
            <v>Plan</v>
          </cell>
          <cell r="FL6" t="str">
            <v>Plan</v>
          </cell>
          <cell r="FM6" t="str">
            <v>Plan</v>
          </cell>
          <cell r="FN6" t="str">
            <v>Plan</v>
          </cell>
          <cell r="FO6" t="str">
            <v>Plan</v>
          </cell>
          <cell r="FP6" t="str">
            <v>Plan</v>
          </cell>
          <cell r="FQ6" t="str">
            <v>Plan</v>
          </cell>
          <cell r="FR6" t="str">
            <v>TOTAL</v>
          </cell>
        </row>
        <row r="8">
          <cell r="A8" t="str">
            <v>ARNOT</v>
          </cell>
          <cell r="B8">
            <v>285.39900000000006</v>
          </cell>
          <cell r="C8">
            <v>550</v>
          </cell>
          <cell r="D8">
            <v>550</v>
          </cell>
          <cell r="E8">
            <v>500</v>
          </cell>
          <cell r="F8">
            <v>480</v>
          </cell>
          <cell r="G8">
            <v>750</v>
          </cell>
          <cell r="H8">
            <v>800</v>
          </cell>
          <cell r="I8">
            <v>600</v>
          </cell>
          <cell r="J8">
            <v>750</v>
          </cell>
          <cell r="K8">
            <v>650</v>
          </cell>
          <cell r="L8">
            <v>700</v>
          </cell>
          <cell r="M8">
            <v>600</v>
          </cell>
          <cell r="N8">
            <v>7215.3990000000003</v>
          </cell>
          <cell r="O8">
            <v>7205.3990000000003</v>
          </cell>
          <cell r="P8">
            <v>10</v>
          </cell>
          <cell r="Q8">
            <v>1.3878481954989585E-3</v>
          </cell>
          <cell r="S8" t="str">
            <v>ARNOT</v>
          </cell>
          <cell r="T8">
            <v>0.498</v>
          </cell>
          <cell r="U8">
            <v>179.536</v>
          </cell>
          <cell r="V8">
            <v>373.5</v>
          </cell>
          <cell r="W8">
            <v>273.89999999999998</v>
          </cell>
          <cell r="X8">
            <v>249</v>
          </cell>
          <cell r="Y8">
            <v>239.04</v>
          </cell>
          <cell r="Z8">
            <v>373.5</v>
          </cell>
          <cell r="AA8">
            <v>398.4</v>
          </cell>
          <cell r="AB8">
            <v>298.8</v>
          </cell>
          <cell r="AC8">
            <v>373.5</v>
          </cell>
          <cell r="AD8">
            <v>323.7</v>
          </cell>
          <cell r="AE8">
            <v>348.6</v>
          </cell>
          <cell r="AF8">
            <v>298.8</v>
          </cell>
          <cell r="AG8">
            <v>3730.2760000000003</v>
          </cell>
          <cell r="AH8">
            <v>3795</v>
          </cell>
          <cell r="AI8">
            <v>-64.723999999999705</v>
          </cell>
          <cell r="AJ8">
            <v>-1.7055072463768039E-2</v>
          </cell>
          <cell r="AL8" t="str">
            <v>ARNOT</v>
          </cell>
          <cell r="AM8">
            <v>416.79899999999998</v>
          </cell>
          <cell r="AN8">
            <v>360</v>
          </cell>
          <cell r="AO8">
            <v>377</v>
          </cell>
          <cell r="AP8">
            <v>243</v>
          </cell>
          <cell r="AQ8">
            <v>352</v>
          </cell>
          <cell r="AR8">
            <v>352</v>
          </cell>
          <cell r="AS8">
            <v>375</v>
          </cell>
          <cell r="AT8">
            <v>352</v>
          </cell>
          <cell r="AU8">
            <v>352</v>
          </cell>
          <cell r="AV8">
            <v>316</v>
          </cell>
          <cell r="AW8">
            <v>362</v>
          </cell>
          <cell r="AX8">
            <v>257.20100000000002</v>
          </cell>
          <cell r="AY8">
            <v>4115</v>
          </cell>
          <cell r="AZ8">
            <v>3921</v>
          </cell>
          <cell r="BA8">
            <v>194</v>
          </cell>
          <cell r="BB8">
            <v>4.9477174190257586E-2</v>
          </cell>
          <cell r="BD8" t="str">
            <v>ARNOT</v>
          </cell>
          <cell r="BE8">
            <v>95.341199774364526</v>
          </cell>
          <cell r="BF8">
            <v>107.71887900773814</v>
          </cell>
          <cell r="BG8">
            <v>107.01460286838838</v>
          </cell>
          <cell r="BH8">
            <v>112.39318582890401</v>
          </cell>
          <cell r="BI8">
            <v>112.08017421141521</v>
          </cell>
          <cell r="BJ8">
            <v>117.97313959667075</v>
          </cell>
          <cell r="BK8">
            <v>116.85151463400261</v>
          </cell>
          <cell r="BL8">
            <v>115.63076932579634</v>
          </cell>
          <cell r="BM8">
            <v>118.40613900086356</v>
          </cell>
          <cell r="BN8">
            <v>117.28451403819541</v>
          </cell>
          <cell r="BO8">
            <v>116.88281579575148</v>
          </cell>
          <cell r="BP8">
            <v>117.58187507480977</v>
          </cell>
          <cell r="BQ8">
            <v>115.4117133621571</v>
          </cell>
          <cell r="BS8" t="str">
            <v>ARNOT</v>
          </cell>
          <cell r="BT8">
            <v>1827.5589999999997</v>
          </cell>
          <cell r="BU8">
            <v>2064.8219999999997</v>
          </cell>
          <cell r="BV8">
            <v>2051.3219999999997</v>
          </cell>
          <cell r="BW8">
            <v>2154.4219999999996</v>
          </cell>
          <cell r="BX8">
            <v>2148.4219999999996</v>
          </cell>
          <cell r="BY8">
            <v>2261.3819999999996</v>
          </cell>
          <cell r="BZ8">
            <v>2239.8819999999996</v>
          </cell>
          <cell r="CA8">
            <v>2216.4819999999995</v>
          </cell>
          <cell r="CB8">
            <v>2269.6819999999993</v>
          </cell>
          <cell r="CC8">
            <v>2248.1819999999993</v>
          </cell>
          <cell r="CD8">
            <v>2240.4819999999995</v>
          </cell>
          <cell r="CE8">
            <v>2253.8819999999996</v>
          </cell>
          <cell r="CF8">
            <v>2212.2829999999994</v>
          </cell>
          <cell r="CH8" t="str">
            <v>ARNOT</v>
          </cell>
          <cell r="CI8">
            <v>19.168617599999997</v>
          </cell>
          <cell r="CJ8">
            <v>19.168617599999997</v>
          </cell>
          <cell r="CK8">
            <v>19.168617599999997</v>
          </cell>
          <cell r="CL8">
            <v>19.168617599999997</v>
          </cell>
          <cell r="CM8">
            <v>19.168617599999997</v>
          </cell>
          <cell r="CN8">
            <v>19.168617599999997</v>
          </cell>
          <cell r="CO8">
            <v>19.168617599999997</v>
          </cell>
          <cell r="CP8">
            <v>19.168617599999997</v>
          </cell>
          <cell r="CQ8">
            <v>19.168617599999997</v>
          </cell>
          <cell r="CR8">
            <v>19.168617599999997</v>
          </cell>
          <cell r="CS8">
            <v>19.168617599999997</v>
          </cell>
          <cell r="CT8">
            <v>19.168617599999997</v>
          </cell>
          <cell r="CV8" t="str">
            <v>ARNOT *</v>
          </cell>
          <cell r="CW8">
            <v>1650</v>
          </cell>
          <cell r="CX8">
            <v>1650</v>
          </cell>
          <cell r="CY8">
            <v>1980</v>
          </cell>
          <cell r="CZ8">
            <v>1980</v>
          </cell>
          <cell r="DA8">
            <v>1980</v>
          </cell>
          <cell r="DB8">
            <v>1980</v>
          </cell>
          <cell r="DC8">
            <v>1980</v>
          </cell>
          <cell r="DD8">
            <v>1980</v>
          </cell>
          <cell r="DE8">
            <v>1980</v>
          </cell>
          <cell r="DF8">
            <v>1980</v>
          </cell>
          <cell r="DG8">
            <v>1980</v>
          </cell>
          <cell r="DH8">
            <v>1980</v>
          </cell>
          <cell r="DJ8" t="str">
            <v>ARNOT</v>
          </cell>
          <cell r="DK8">
            <v>0.755</v>
          </cell>
          <cell r="DL8">
            <v>0.86929067460319076</v>
          </cell>
          <cell r="DM8">
            <v>0.95499999999999996</v>
          </cell>
          <cell r="DN8">
            <v>0.95499999999999996</v>
          </cell>
          <cell r="DO8">
            <v>0.91198924731182796</v>
          </cell>
          <cell r="DP8">
            <v>0.88277777777777777</v>
          </cell>
          <cell r="DQ8">
            <v>0.95499999999999996</v>
          </cell>
          <cell r="DR8">
            <v>0.95499999999999996</v>
          </cell>
          <cell r="DS8">
            <v>0.95499999999999996</v>
          </cell>
          <cell r="DT8">
            <v>0.91736559139784946</v>
          </cell>
          <cell r="DU8">
            <v>0.7994444444444444</v>
          </cell>
          <cell r="DV8">
            <v>0.95499999999999996</v>
          </cell>
          <cell r="DW8">
            <v>0.9085432634652495</v>
          </cell>
          <cell r="DY8" t="str">
            <v>ARNOT</v>
          </cell>
          <cell r="DZ8">
            <v>0.30792759899788319</v>
          </cell>
          <cell r="EA8">
            <v>0.57061666543031997</v>
          </cell>
          <cell r="EB8">
            <v>0.39094997716852137</v>
          </cell>
          <cell r="EC8">
            <v>0.36725603915830796</v>
          </cell>
          <cell r="ED8">
            <v>0.35728385666486234</v>
          </cell>
          <cell r="EE8">
            <v>0.59595323912504528</v>
          </cell>
          <cell r="EF8">
            <v>0.56865451224512198</v>
          </cell>
          <cell r="EG8">
            <v>0.42649088418384151</v>
          </cell>
          <cell r="EH8">
            <v>0.55088405873746193</v>
          </cell>
          <cell r="EI8">
            <v>0.48098638616132611</v>
          </cell>
          <cell r="EJ8">
            <v>0.6142031854332064</v>
          </cell>
          <cell r="EK8">
            <v>0.42649088418384151</v>
          </cell>
          <cell r="EL8">
            <v>0.47147477395747828</v>
          </cell>
          <cell r="FC8" t="str">
            <v>ARNOT</v>
          </cell>
          <cell r="FD8">
            <v>1.98</v>
          </cell>
          <cell r="FE8">
            <v>1.264</v>
          </cell>
          <cell r="FF8">
            <v>0.67244344465753436</v>
          </cell>
          <cell r="FG8">
            <v>1.1859643835616438</v>
          </cell>
          <cell r="FH8">
            <v>1.1963534246575342</v>
          </cell>
          <cell r="FI8">
            <v>1.093890410958904</v>
          </cell>
          <cell r="FJ8">
            <v>1.0577534246575342</v>
          </cell>
          <cell r="FK8">
            <v>1.5888904109589042</v>
          </cell>
          <cell r="FL8">
            <v>1.6913534246575344</v>
          </cell>
          <cell r="FM8">
            <v>1.2953534246575342</v>
          </cell>
          <cell r="FN8">
            <v>1.5888904109589042</v>
          </cell>
          <cell r="FO8">
            <v>1.3943534246575342</v>
          </cell>
          <cell r="FP8">
            <v>1.489890410958904</v>
          </cell>
          <cell r="FQ8">
            <v>1.2953534246575342</v>
          </cell>
          <cell r="FR8">
            <v>15.55049002</v>
          </cell>
        </row>
        <row r="9">
          <cell r="A9" t="str">
            <v>ARNOT Pre-comm.</v>
          </cell>
          <cell r="B9">
            <v>90.450999999999993</v>
          </cell>
          <cell r="C9">
            <v>200</v>
          </cell>
          <cell r="N9">
            <v>290.45100000000002</v>
          </cell>
          <cell r="O9">
            <v>290.45100000000002</v>
          </cell>
          <cell r="P9">
            <v>0</v>
          </cell>
          <cell r="S9" t="str">
            <v>DUVHA</v>
          </cell>
          <cell r="T9">
            <v>0.48099999999999998</v>
          </cell>
          <cell r="U9">
            <v>855.36199999999997</v>
          </cell>
          <cell r="V9">
            <v>716.68999999999994</v>
          </cell>
          <cell r="W9">
            <v>490.62</v>
          </cell>
          <cell r="X9">
            <v>788.83999999999992</v>
          </cell>
          <cell r="Y9">
            <v>968.65242580429378</v>
          </cell>
          <cell r="Z9">
            <v>961.93602700000088</v>
          </cell>
          <cell r="AA9">
            <v>1026.1483935716008</v>
          </cell>
          <cell r="AB9">
            <v>981.24</v>
          </cell>
          <cell r="AC9">
            <v>817.69999999999993</v>
          </cell>
          <cell r="AD9">
            <v>851.37</v>
          </cell>
          <cell r="AE9">
            <v>788.83999999999992</v>
          </cell>
          <cell r="AF9">
            <v>810.48500000000001</v>
          </cell>
          <cell r="AG9">
            <v>10057.883846375895</v>
          </cell>
          <cell r="AH9">
            <v>10020</v>
          </cell>
          <cell r="AI9">
            <v>37.883846375894791</v>
          </cell>
          <cell r="AJ9">
            <v>3.7808229916062664E-3</v>
          </cell>
          <cell r="AL9" t="str">
            <v>DUVHA</v>
          </cell>
          <cell r="AM9">
            <v>853.37599999999998</v>
          </cell>
          <cell r="AN9">
            <v>749</v>
          </cell>
          <cell r="AO9">
            <v>775.62400000000002</v>
          </cell>
          <cell r="AP9">
            <v>843</v>
          </cell>
          <cell r="AQ9">
            <v>947</v>
          </cell>
          <cell r="AR9">
            <v>924</v>
          </cell>
          <cell r="AS9">
            <v>896</v>
          </cell>
          <cell r="AT9">
            <v>812</v>
          </cell>
          <cell r="AU9">
            <v>834</v>
          </cell>
          <cell r="AV9">
            <v>801</v>
          </cell>
          <cell r="AW9">
            <v>730</v>
          </cell>
          <cell r="AX9">
            <v>800</v>
          </cell>
          <cell r="AY9">
            <v>9965</v>
          </cell>
          <cell r="AZ9">
            <v>9965</v>
          </cell>
          <cell r="BA9">
            <v>0</v>
          </cell>
          <cell r="BB9">
            <v>0</v>
          </cell>
          <cell r="BD9" t="str">
            <v>DUVHA</v>
          </cell>
          <cell r="BE9">
            <v>31.580044059915245</v>
          </cell>
          <cell r="BF9">
            <v>31.518481196420012</v>
          </cell>
          <cell r="BG9">
            <v>32.520040168993482</v>
          </cell>
          <cell r="BH9">
            <v>41.354714060028073</v>
          </cell>
          <cell r="BI9">
            <v>43.033588524731854</v>
          </cell>
          <cell r="BJ9">
            <v>42.362397520638019</v>
          </cell>
          <cell r="BK9">
            <v>41.186440596291369</v>
          </cell>
          <cell r="BL9">
            <v>37.152045939910707</v>
          </cell>
          <cell r="BM9">
            <v>31.905873221918345</v>
          </cell>
          <cell r="BN9">
            <v>32.411147479205489</v>
          </cell>
          <cell r="BO9">
            <v>30.849757028926152</v>
          </cell>
          <cell r="BP9">
            <v>29.025809955381661</v>
          </cell>
          <cell r="BQ9">
            <v>28.700791514421191</v>
          </cell>
          <cell r="BS9" t="str">
            <v>DUVHA</v>
          </cell>
          <cell r="BT9">
            <v>1018.7630000000004</v>
          </cell>
          <cell r="BU9">
            <v>1016.7770000000004</v>
          </cell>
          <cell r="BV9">
            <v>1049.0870000000004</v>
          </cell>
          <cell r="BW9">
            <v>1334.0910000000003</v>
          </cell>
          <cell r="BX9">
            <v>1388.2510000000004</v>
          </cell>
          <cell r="BY9">
            <v>1366.5985741957065</v>
          </cell>
          <cell r="BZ9">
            <v>1328.6625471957057</v>
          </cell>
          <cell r="CA9">
            <v>1198.5141536241051</v>
          </cell>
          <cell r="CB9">
            <v>1029.2741536241051</v>
          </cell>
          <cell r="CC9">
            <v>1045.5741536241053</v>
          </cell>
          <cell r="CD9">
            <v>995.20415362410529</v>
          </cell>
          <cell r="CE9">
            <v>936.36415362410548</v>
          </cell>
          <cell r="CF9">
            <v>925.87915362410547</v>
          </cell>
          <cell r="CH9" t="str">
            <v>DUVHA</v>
          </cell>
          <cell r="CI9">
            <v>32.259708000000003</v>
          </cell>
          <cell r="CJ9">
            <v>32.259708000000003</v>
          </cell>
          <cell r="CK9">
            <v>32.259708000000003</v>
          </cell>
          <cell r="CL9">
            <v>32.259708000000003</v>
          </cell>
          <cell r="CM9">
            <v>32.259708000000003</v>
          </cell>
          <cell r="CN9">
            <v>32.259708000000003</v>
          </cell>
          <cell r="CO9">
            <v>32.259708000000003</v>
          </cell>
          <cell r="CP9">
            <v>32.259708000000003</v>
          </cell>
          <cell r="CQ9">
            <v>32.259708000000003</v>
          </cell>
          <cell r="CR9">
            <v>32.259708000000003</v>
          </cell>
          <cell r="CS9">
            <v>32.259708000000003</v>
          </cell>
          <cell r="CT9">
            <v>32.259708000000003</v>
          </cell>
          <cell r="CV9" t="str">
            <v>DUVHA</v>
          </cell>
          <cell r="CW9">
            <v>3450</v>
          </cell>
          <cell r="CX9">
            <v>3450</v>
          </cell>
          <cell r="CY9">
            <v>3450</v>
          </cell>
          <cell r="CZ9">
            <v>3450</v>
          </cell>
          <cell r="DA9">
            <v>3450</v>
          </cell>
          <cell r="DB9">
            <v>3450</v>
          </cell>
          <cell r="DC9">
            <v>3450</v>
          </cell>
          <cell r="DD9">
            <v>3450</v>
          </cell>
          <cell r="DE9">
            <v>3450</v>
          </cell>
          <cell r="DF9">
            <v>3450</v>
          </cell>
          <cell r="DG9">
            <v>3450</v>
          </cell>
          <cell r="DH9">
            <v>3450</v>
          </cell>
          <cell r="DJ9" t="str">
            <v>DUVHA</v>
          </cell>
          <cell r="DK9">
            <v>0.96899999999999997</v>
          </cell>
          <cell r="DL9">
            <v>0.8004</v>
          </cell>
          <cell r="DM9">
            <v>0.49650000000000005</v>
          </cell>
          <cell r="DN9">
            <v>0.83</v>
          </cell>
          <cell r="DO9">
            <v>0.98</v>
          </cell>
          <cell r="DP9">
            <v>0.97</v>
          </cell>
          <cell r="DQ9">
            <v>0.97470000000000001</v>
          </cell>
          <cell r="DR9">
            <v>0.97539999999999993</v>
          </cell>
          <cell r="DS9">
            <v>0.96499999999999997</v>
          </cell>
          <cell r="DT9">
            <v>0.97260000000000002</v>
          </cell>
          <cell r="DU9">
            <v>0.97320000000000007</v>
          </cell>
          <cell r="DV9">
            <v>0.96919999999999995</v>
          </cell>
          <cell r="DW9">
            <v>0.90998412873766388</v>
          </cell>
          <cell r="DY9" t="str">
            <v>DUVHA</v>
          </cell>
          <cell r="DZ9">
            <v>0.72008361754517847</v>
          </cell>
          <cell r="EA9">
            <v>0.80295428545216696</v>
          </cell>
          <cell r="EB9">
            <v>0.80036647368418568</v>
          </cell>
          <cell r="EC9">
            <v>0.79545234076402238</v>
          </cell>
          <cell r="ED9">
            <v>0.80058009459786905</v>
          </cell>
          <cell r="EE9">
            <v>0.82999941896176854</v>
          </cell>
          <cell r="EF9">
            <v>0.85271145376178525</v>
          </cell>
          <cell r="EG9">
            <v>0.81480818983842163</v>
          </cell>
          <cell r="EH9">
            <v>0.70920210591307686</v>
          </cell>
          <cell r="EI9">
            <v>0.70900120044718506</v>
          </cell>
          <cell r="EJ9">
            <v>0.67840674356158903</v>
          </cell>
          <cell r="EK9">
            <v>0.67732088805844937</v>
          </cell>
          <cell r="EL9">
            <v>0.76590723438214159</v>
          </cell>
          <cell r="FC9" t="str">
            <v>DUVHA</v>
          </cell>
          <cell r="FD9">
            <v>1.82</v>
          </cell>
          <cell r="FE9">
            <v>0.75600000000000001</v>
          </cell>
          <cell r="FF9">
            <v>3.3238518791780822</v>
          </cell>
          <cell r="FG9">
            <v>2.7697945205479453</v>
          </cell>
          <cell r="FH9">
            <v>1.9206082191780822</v>
          </cell>
          <cell r="FI9">
            <v>3.04693698630137</v>
          </cell>
          <cell r="FJ9">
            <v>3.7293795600591944</v>
          </cell>
          <cell r="FK9">
            <v>3.7018949263013732</v>
          </cell>
          <cell r="FL9">
            <v>3.9469318705300855</v>
          </cell>
          <cell r="FM9">
            <v>3.7770082191780823</v>
          </cell>
          <cell r="FN9">
            <v>3.1561369863013695</v>
          </cell>
          <cell r="FO9">
            <v>3.2856082191780822</v>
          </cell>
          <cell r="FP9">
            <v>3.04693698630137</v>
          </cell>
          <cell r="FQ9">
            <v>3.1309082191780826</v>
          </cell>
          <cell r="FR9">
            <v>38.835996592233116</v>
          </cell>
        </row>
        <row r="10">
          <cell r="A10" t="str">
            <v>DUVHA</v>
          </cell>
          <cell r="B10">
            <v>1791.0129999999999</v>
          </cell>
          <cell r="C10">
            <v>1490</v>
          </cell>
          <cell r="D10">
            <v>1020</v>
          </cell>
          <cell r="E10">
            <v>1640</v>
          </cell>
          <cell r="F10">
            <v>2013.8304070775339</v>
          </cell>
          <cell r="G10">
            <v>1999.867000000002</v>
          </cell>
          <cell r="H10">
            <v>2133.3646436000017</v>
          </cell>
          <cell r="I10">
            <v>2040</v>
          </cell>
          <cell r="J10">
            <v>1700</v>
          </cell>
          <cell r="K10">
            <v>1770</v>
          </cell>
          <cell r="L10">
            <v>1640</v>
          </cell>
          <cell r="M10">
            <v>1685</v>
          </cell>
          <cell r="N10">
            <v>20923.075050677537</v>
          </cell>
          <cell r="O10">
            <v>20923.075050677537</v>
          </cell>
          <cell r="P10">
            <v>0</v>
          </cell>
          <cell r="Q10">
            <v>0</v>
          </cell>
          <cell r="S10" t="str">
            <v>HENDRINA</v>
          </cell>
          <cell r="T10">
            <v>0.51100000000000001</v>
          </cell>
          <cell r="U10">
            <v>505.21899999999999</v>
          </cell>
          <cell r="V10">
            <v>530.45944422659306</v>
          </cell>
          <cell r="W10">
            <v>604.34331877080012</v>
          </cell>
          <cell r="X10">
            <v>417.08032235335338</v>
          </cell>
          <cell r="Y10">
            <v>531.44000000000005</v>
          </cell>
          <cell r="Z10">
            <v>531.34609204270703</v>
          </cell>
          <cell r="AA10">
            <v>562.1</v>
          </cell>
          <cell r="AB10">
            <v>562.1</v>
          </cell>
          <cell r="AC10">
            <v>607.85199663999492</v>
          </cell>
          <cell r="AD10">
            <v>602.46900000000005</v>
          </cell>
          <cell r="AE10">
            <v>459.90000000000003</v>
          </cell>
          <cell r="AF10">
            <v>500.78000000000003</v>
          </cell>
          <cell r="AG10">
            <v>6415.0891740334482</v>
          </cell>
          <cell r="AH10">
            <v>6546</v>
          </cell>
          <cell r="AI10">
            <v>-130.91082596655178</v>
          </cell>
          <cell r="AJ10">
            <v>-1.9998598528345828E-2</v>
          </cell>
          <cell r="AL10" t="str">
            <v>HENDRINA</v>
          </cell>
          <cell r="AM10">
            <v>537.65800000000002</v>
          </cell>
          <cell r="AN10">
            <v>552.34199999999998</v>
          </cell>
          <cell r="AO10">
            <v>570</v>
          </cell>
          <cell r="AP10">
            <v>570</v>
          </cell>
          <cell r="AQ10">
            <v>590</v>
          </cell>
          <cell r="AR10">
            <v>590</v>
          </cell>
          <cell r="AS10">
            <v>550</v>
          </cell>
          <cell r="AT10">
            <v>530</v>
          </cell>
          <cell r="AU10">
            <v>500</v>
          </cell>
          <cell r="AV10">
            <v>510</v>
          </cell>
          <cell r="AW10">
            <v>500</v>
          </cell>
          <cell r="AX10">
            <v>500</v>
          </cell>
          <cell r="AY10">
            <v>6500</v>
          </cell>
          <cell r="AZ10">
            <v>6500</v>
          </cell>
          <cell r="BA10">
            <v>0</v>
          </cell>
          <cell r="BB10">
            <v>0</v>
          </cell>
          <cell r="BD10" t="str">
            <v>HENDRINA</v>
          </cell>
          <cell r="BE10">
            <v>27.6661974571131</v>
          </cell>
          <cell r="BF10">
            <v>29.38488407726571</v>
          </cell>
          <cell r="BG10">
            <v>30.544268023210332</v>
          </cell>
          <cell r="BH10">
            <v>28.724686579176606</v>
          </cell>
          <cell r="BI10">
            <v>36.826693543920967</v>
          </cell>
          <cell r="BJ10">
            <v>39.929325822232158</v>
          </cell>
          <cell r="BK10">
            <v>43.036933542132964</v>
          </cell>
          <cell r="BL10">
            <v>42.395850028342579</v>
          </cell>
          <cell r="BM10">
            <v>40.695124342997815</v>
          </cell>
          <cell r="BN10">
            <v>34.980898146693868</v>
          </cell>
          <cell r="BO10">
            <v>30.081695548620804</v>
          </cell>
          <cell r="BP10">
            <v>32.206278102587312</v>
          </cell>
          <cell r="BQ10">
            <v>32.164952057896691</v>
          </cell>
          <cell r="BS10" t="str">
            <v>HENDRINA</v>
          </cell>
          <cell r="BT10">
            <v>522.17999999999995</v>
          </cell>
          <cell r="BU10">
            <v>554.61899999999991</v>
          </cell>
          <cell r="BV10">
            <v>576.50155577340672</v>
          </cell>
          <cell r="BW10">
            <v>542.15823700260671</v>
          </cell>
          <cell r="BX10">
            <v>695.07791464925333</v>
          </cell>
          <cell r="BY10">
            <v>753.63791464925316</v>
          </cell>
          <cell r="BZ10">
            <v>812.29182260654613</v>
          </cell>
          <cell r="CA10">
            <v>800.19182260654622</v>
          </cell>
          <cell r="CB10">
            <v>768.09182260654632</v>
          </cell>
          <cell r="CC10">
            <v>660.23982596655151</v>
          </cell>
          <cell r="CD10">
            <v>567.77082596655146</v>
          </cell>
          <cell r="CE10">
            <v>607.87082596655137</v>
          </cell>
          <cell r="CF10">
            <v>607.09082596655139</v>
          </cell>
          <cell r="CH10" t="str">
            <v>HENDRINA</v>
          </cell>
          <cell r="CI10">
            <v>18.874296000000001</v>
          </cell>
          <cell r="CJ10">
            <v>18.874296000000001</v>
          </cell>
          <cell r="CK10">
            <v>18.874296000000001</v>
          </cell>
          <cell r="CL10">
            <v>18.874296000000001</v>
          </cell>
          <cell r="CM10">
            <v>18.874296000000001</v>
          </cell>
          <cell r="CN10">
            <v>18.874296000000001</v>
          </cell>
          <cell r="CO10">
            <v>18.874296000000001</v>
          </cell>
          <cell r="CP10">
            <v>18.874296000000001</v>
          </cell>
          <cell r="CQ10">
            <v>18.874296000000001</v>
          </cell>
          <cell r="CR10">
            <v>18.874296000000001</v>
          </cell>
          <cell r="CS10">
            <v>18.874296000000001</v>
          </cell>
          <cell r="CT10">
            <v>18.874296000000001</v>
          </cell>
          <cell r="CV10" t="str">
            <v>HENDRINA</v>
          </cell>
          <cell r="CW10">
            <v>1900</v>
          </cell>
          <cell r="CX10">
            <v>1900</v>
          </cell>
          <cell r="CY10">
            <v>1900</v>
          </cell>
          <cell r="CZ10">
            <v>1900</v>
          </cell>
          <cell r="DA10">
            <v>1900</v>
          </cell>
          <cell r="DB10">
            <v>1900</v>
          </cell>
          <cell r="DC10">
            <v>1900</v>
          </cell>
          <cell r="DD10">
            <v>1900</v>
          </cell>
          <cell r="DE10">
            <v>1900</v>
          </cell>
          <cell r="DF10">
            <v>1900</v>
          </cell>
          <cell r="DG10">
            <v>1900</v>
          </cell>
          <cell r="DH10">
            <v>1900</v>
          </cell>
          <cell r="DJ10" t="str">
            <v>HENDRINA</v>
          </cell>
          <cell r="DK10">
            <v>0.95187258064516134</v>
          </cell>
          <cell r="DL10">
            <v>0.95779999999999998</v>
          </cell>
          <cell r="DM10">
            <v>0.96165</v>
          </cell>
          <cell r="DN10">
            <v>0.62804259259262285</v>
          </cell>
          <cell r="DO10">
            <v>0.81511290322580643</v>
          </cell>
          <cell r="DP10">
            <v>0.84680231481482238</v>
          </cell>
          <cell r="DQ10">
            <v>0.86570000000000003</v>
          </cell>
          <cell r="DR10">
            <v>0.90164611111111848</v>
          </cell>
          <cell r="DS10">
            <v>0.90649999999999997</v>
          </cell>
          <cell r="DT10">
            <v>0.92615000000000003</v>
          </cell>
          <cell r="DU10">
            <v>0.86130000000000007</v>
          </cell>
          <cell r="DV10">
            <v>0.89376030465950551</v>
          </cell>
          <cell r="DW10">
            <v>0.8793998820395782</v>
          </cell>
          <cell r="DY10" t="str">
            <v>HENDRINA</v>
          </cell>
          <cell r="DZ10">
            <v>0.73789929521759701</v>
          </cell>
          <cell r="EA10">
            <v>0.8488551328480668</v>
          </cell>
          <cell r="EB10">
            <v>0.87000000000000022</v>
          </cell>
          <cell r="EC10">
            <v>0.94999999999999984</v>
          </cell>
          <cell r="ED10">
            <v>0.90258691825235571</v>
          </cell>
          <cell r="EE10">
            <v>0.89761160061537304</v>
          </cell>
          <cell r="EF10">
            <v>0.89887381896968932</v>
          </cell>
          <cell r="EG10">
            <v>0.86303823140003577</v>
          </cell>
          <cell r="EH10">
            <v>0.95923063772687012</v>
          </cell>
          <cell r="EI10">
            <v>0.90054607464110825</v>
          </cell>
          <cell r="EJ10">
            <v>0.76383923933833198</v>
          </cell>
          <cell r="EK10">
            <v>0.77567264735781127</v>
          </cell>
          <cell r="EL10">
            <v>0.86401279969726996</v>
          </cell>
          <cell r="FC10" t="str">
            <v>HENDRINA</v>
          </cell>
          <cell r="FD10">
            <v>1.96</v>
          </cell>
          <cell r="FE10">
            <v>1.4410000000000001</v>
          </cell>
          <cell r="FF10">
            <v>2.0684565813698628</v>
          </cell>
          <cell r="FG10">
            <v>2.1451814299102203</v>
          </cell>
          <cell r="FH10">
            <v>2.4404154692578635</v>
          </cell>
          <cell r="FI10">
            <v>1.7181984966977939</v>
          </cell>
          <cell r="FJ10">
            <v>2.1607863013698627</v>
          </cell>
          <cell r="FK10">
            <v>2.1564781612596984</v>
          </cell>
          <cell r="FL10">
            <v>2.2783863013698631</v>
          </cell>
          <cell r="FM10">
            <v>2.2783863013698631</v>
          </cell>
          <cell r="FN10">
            <v>2.4499254665643639</v>
          </cell>
          <cell r="FO10">
            <v>2.4332263013698632</v>
          </cell>
          <cell r="FP10">
            <v>1.8824383561643836</v>
          </cell>
          <cell r="FQ10">
            <v>2.0431863013698632</v>
          </cell>
          <cell r="FR10">
            <v>26.055065468073501</v>
          </cell>
        </row>
        <row r="11">
          <cell r="A11" t="str">
            <v>HENDRINA</v>
          </cell>
          <cell r="B11">
            <v>992.89300000000003</v>
          </cell>
          <cell r="C11">
            <v>1038.0811041616303</v>
          </cell>
          <cell r="D11">
            <v>1182.6679428000002</v>
          </cell>
          <cell r="E11">
            <v>816.20415333337257</v>
          </cell>
          <cell r="F11">
            <v>1040</v>
          </cell>
          <cell r="G11">
            <v>1039.8162270894463</v>
          </cell>
          <cell r="H11">
            <v>1100</v>
          </cell>
          <cell r="I11">
            <v>1100</v>
          </cell>
          <cell r="J11">
            <v>1189.5342399999899</v>
          </cell>
          <cell r="K11">
            <v>1179</v>
          </cell>
          <cell r="L11">
            <v>900</v>
          </cell>
          <cell r="M11">
            <v>980</v>
          </cell>
          <cell r="N11">
            <v>12558.19666738444</v>
          </cell>
          <cell r="O11">
            <v>12648.197980504998</v>
          </cell>
          <cell r="P11">
            <v>-90.001313120557825</v>
          </cell>
          <cell r="Q11">
            <v>-7.1157419625530235E-3</v>
          </cell>
          <cell r="S11" t="str">
            <v>KENDAL</v>
          </cell>
          <cell r="T11">
            <v>0.56200000000000006</v>
          </cell>
          <cell r="U11">
            <v>1014.599</v>
          </cell>
          <cell r="V11">
            <v>1067.8000000000002</v>
          </cell>
          <cell r="W11">
            <v>1227.97</v>
          </cell>
          <cell r="X11">
            <v>1063.8660000000002</v>
          </cell>
          <cell r="Y11">
            <v>1222.4079999999972</v>
          </cell>
          <cell r="Z11">
            <v>1120.8220000000015</v>
          </cell>
          <cell r="AA11">
            <v>1204.9859999999971</v>
          </cell>
          <cell r="AB11">
            <v>1124</v>
          </cell>
          <cell r="AC11">
            <v>1159.4586931200006</v>
          </cell>
          <cell r="AD11">
            <v>1294.930438656</v>
          </cell>
          <cell r="AE11">
            <v>1173.8939999999973</v>
          </cell>
          <cell r="AF11">
            <v>1067.8000000000002</v>
          </cell>
          <cell r="AG11">
            <v>13742.534131775996</v>
          </cell>
          <cell r="AH11">
            <v>14777</v>
          </cell>
          <cell r="AI11">
            <v>-1034.4658682240042</v>
          </cell>
          <cell r="AJ11">
            <v>-7.0005134210191805E-2</v>
          </cell>
          <cell r="AL11" t="str">
            <v>KENDAL</v>
          </cell>
          <cell r="AM11">
            <v>1070.2829999999999</v>
          </cell>
          <cell r="AN11">
            <v>1111</v>
          </cell>
          <cell r="AO11">
            <v>1111</v>
          </cell>
          <cell r="AP11">
            <v>1041</v>
          </cell>
          <cell r="AQ11">
            <v>1181</v>
          </cell>
          <cell r="AR11">
            <v>1142</v>
          </cell>
          <cell r="AS11">
            <v>1238</v>
          </cell>
          <cell r="AT11">
            <v>1110</v>
          </cell>
          <cell r="AU11">
            <v>1150</v>
          </cell>
          <cell r="AV11">
            <v>1161</v>
          </cell>
          <cell r="AW11">
            <v>1202</v>
          </cell>
          <cell r="AX11">
            <v>1138</v>
          </cell>
          <cell r="AY11">
            <v>13655.282999999999</v>
          </cell>
          <cell r="AZ11">
            <v>13943</v>
          </cell>
          <cell r="BA11">
            <v>-287.71700000000055</v>
          </cell>
          <cell r="BB11">
            <v>-2.0635229147242383E-2</v>
          </cell>
          <cell r="BD11" t="str">
            <v>KENDAL</v>
          </cell>
          <cell r="BE11">
            <v>61.303444091745611</v>
          </cell>
          <cell r="BF11">
            <v>62.630736542526428</v>
          </cell>
          <cell r="BG11">
            <v>63.660458435237636</v>
          </cell>
          <cell r="BH11">
            <v>60.87234339379247</v>
          </cell>
          <cell r="BI11">
            <v>60.327305875303246</v>
          </cell>
          <cell r="BJ11">
            <v>59.34029837221567</v>
          </cell>
          <cell r="BK11">
            <v>59.845100461193368</v>
          </cell>
          <cell r="BL11">
            <v>60.632027279850107</v>
          </cell>
          <cell r="BM11">
            <v>60.298321110915914</v>
          </cell>
          <cell r="BN11">
            <v>60.072862236330231</v>
          </cell>
          <cell r="BO11">
            <v>56.880475551503842</v>
          </cell>
          <cell r="BP11">
            <v>57.550414521794217</v>
          </cell>
          <cell r="BQ11">
            <v>59.223712597449939</v>
          </cell>
          <cell r="BS11" t="str">
            <v>KENDAL</v>
          </cell>
          <cell r="BT11">
            <v>2571.8679999999999</v>
          </cell>
          <cell r="BU11">
            <v>2627.5519999999997</v>
          </cell>
          <cell r="BV11">
            <v>2670.7519999999995</v>
          </cell>
          <cell r="BW11">
            <v>2553.7819999999992</v>
          </cell>
          <cell r="BX11">
            <v>2530.9159999999993</v>
          </cell>
          <cell r="BY11">
            <v>2489.5080000000021</v>
          </cell>
          <cell r="BZ11">
            <v>2510.6860000000006</v>
          </cell>
          <cell r="CA11">
            <v>2543.7000000000035</v>
          </cell>
          <cell r="CB11">
            <v>2529.7000000000035</v>
          </cell>
          <cell r="CC11">
            <v>2520.2413068800029</v>
          </cell>
          <cell r="CD11">
            <v>2386.3108682240027</v>
          </cell>
          <cell r="CE11">
            <v>2414.4168682240052</v>
          </cell>
          <cell r="CF11">
            <v>2484.616868224005</v>
          </cell>
          <cell r="CH11" t="str">
            <v>KENDAL</v>
          </cell>
          <cell r="CI11">
            <v>41.953075200000008</v>
          </cell>
          <cell r="CJ11">
            <v>41.953075200000008</v>
          </cell>
          <cell r="CK11">
            <v>41.953075200000008</v>
          </cell>
          <cell r="CL11">
            <v>41.953075200000008</v>
          </cell>
          <cell r="CM11">
            <v>41.953075200000008</v>
          </cell>
          <cell r="CN11">
            <v>41.953075200000008</v>
          </cell>
          <cell r="CO11">
            <v>41.953075200000008</v>
          </cell>
          <cell r="CP11">
            <v>41.953075200000008</v>
          </cell>
          <cell r="CQ11">
            <v>41.953075200000008</v>
          </cell>
          <cell r="CR11">
            <v>41.953075200000008</v>
          </cell>
          <cell r="CS11">
            <v>41.953075200000008</v>
          </cell>
          <cell r="CT11">
            <v>41.953075200000008</v>
          </cell>
          <cell r="CV11" t="str">
            <v>KENDAL</v>
          </cell>
          <cell r="CW11">
            <v>3840</v>
          </cell>
          <cell r="CX11">
            <v>3840</v>
          </cell>
          <cell r="CY11">
            <v>3840</v>
          </cell>
          <cell r="CZ11">
            <v>3840</v>
          </cell>
          <cell r="DA11">
            <v>3840</v>
          </cell>
          <cell r="DB11">
            <v>3840</v>
          </cell>
          <cell r="DC11">
            <v>3840</v>
          </cell>
          <cell r="DD11">
            <v>3840</v>
          </cell>
          <cell r="DE11">
            <v>3840</v>
          </cell>
          <cell r="DF11">
            <v>3840</v>
          </cell>
          <cell r="DG11">
            <v>3840</v>
          </cell>
          <cell r="DH11">
            <v>3840</v>
          </cell>
          <cell r="DJ11" t="str">
            <v>KENDAL</v>
          </cell>
          <cell r="DK11">
            <v>0.93036559139784947</v>
          </cell>
          <cell r="DL11">
            <v>0.8846666666666666</v>
          </cell>
          <cell r="DM11">
            <v>0.96799999999999997</v>
          </cell>
          <cell r="DN11">
            <v>0.96799999999999997</v>
          </cell>
          <cell r="DO11">
            <v>0.96799999999999997</v>
          </cell>
          <cell r="DP11">
            <v>0.96799999999999997</v>
          </cell>
          <cell r="DQ11">
            <v>0.96799999999999997</v>
          </cell>
          <cell r="DR11">
            <v>0.96799999999999997</v>
          </cell>
          <cell r="DS11">
            <v>0.82911111111111113</v>
          </cell>
          <cell r="DT11">
            <v>0.91423655913978497</v>
          </cell>
          <cell r="DU11">
            <v>0.85133333333333328</v>
          </cell>
          <cell r="DV11">
            <v>0.96799999999999997</v>
          </cell>
          <cell r="DW11">
            <v>0.93284018264840185</v>
          </cell>
          <cell r="DY11" t="str">
            <v>KENDAL</v>
          </cell>
          <cell r="DZ11">
            <v>0.77352770257385228</v>
          </cell>
          <cell r="EA11">
            <v>0.83228762963361669</v>
          </cell>
          <cell r="EB11">
            <v>0.79008155695518223</v>
          </cell>
          <cell r="EC11">
            <v>0.70731283000459144</v>
          </cell>
          <cell r="ED11">
            <v>0.78650294052335812</v>
          </cell>
          <cell r="EE11">
            <v>0.7451801079754472</v>
          </cell>
          <cell r="EF11">
            <v>0.77529354543612206</v>
          </cell>
          <cell r="EG11">
            <v>0.72318677982167701</v>
          </cell>
          <cell r="EH11">
            <v>0.90000000000000013</v>
          </cell>
          <cell r="EI11">
            <v>0.88216003716597657</v>
          </cell>
          <cell r="EJ11">
            <v>0.88741999181847442</v>
          </cell>
          <cell r="EK11">
            <v>0.68702744083059319</v>
          </cell>
          <cell r="EL11">
            <v>0.79083171356157445</v>
          </cell>
          <cell r="FC11" t="str">
            <v>KENDAL</v>
          </cell>
          <cell r="FD11">
            <v>0.16</v>
          </cell>
          <cell r="FE11">
            <v>0.29599999999999999</v>
          </cell>
          <cell r="FF11">
            <v>0.35410772602739732</v>
          </cell>
          <cell r="FG11">
            <v>0.32670684931506849</v>
          </cell>
          <cell r="FH11">
            <v>0.3747397260273973</v>
          </cell>
          <cell r="FI11">
            <v>0.32720876712328767</v>
          </cell>
          <cell r="FJ11">
            <v>0.37315623848291246</v>
          </cell>
          <cell r="FK11">
            <v>0.34342399844001403</v>
          </cell>
          <cell r="FL11">
            <v>0.3681962384829125</v>
          </cell>
          <cell r="FM11">
            <v>0.34513972602739729</v>
          </cell>
          <cell r="FN11">
            <v>0.35442376872328779</v>
          </cell>
          <cell r="FO11">
            <v>0.39380319610739722</v>
          </cell>
          <cell r="FP11">
            <v>0.35853346463218372</v>
          </cell>
          <cell r="FQ11">
            <v>0.32913972602739727</v>
          </cell>
          <cell r="FR11">
            <v>4.2485794254166533</v>
          </cell>
        </row>
        <row r="12">
          <cell r="A12" t="str">
            <v>KENDAL</v>
          </cell>
          <cell r="B12">
            <v>2056.0500000000002</v>
          </cell>
          <cell r="C12">
            <v>1900</v>
          </cell>
          <cell r="D12">
            <v>2185</v>
          </cell>
          <cell r="E12">
            <v>1893</v>
          </cell>
          <cell r="F12">
            <v>2175.1032028469699</v>
          </cell>
          <cell r="G12">
            <v>1994.3451957295399</v>
          </cell>
          <cell r="H12">
            <v>2144.1032028469699</v>
          </cell>
          <cell r="I12">
            <v>2000</v>
          </cell>
          <cell r="J12">
            <v>2063.0937600000007</v>
          </cell>
          <cell r="K12">
            <v>2304.1466879999998</v>
          </cell>
          <cell r="L12">
            <v>2088.7793594305999</v>
          </cell>
          <cell r="M12">
            <v>1900</v>
          </cell>
          <cell r="N12">
            <v>24703.62140885408</v>
          </cell>
          <cell r="O12">
            <v>24703.76731632739</v>
          </cell>
          <cell r="P12">
            <v>-0.14590747331021703</v>
          </cell>
          <cell r="Q12">
            <v>-5.9062843104817794E-6</v>
          </cell>
          <cell r="S12" t="str">
            <v>KRIEL</v>
          </cell>
          <cell r="T12">
            <v>0.52100000000000002</v>
          </cell>
          <cell r="U12">
            <v>701.697</v>
          </cell>
          <cell r="V12">
            <v>656.23874672160014</v>
          </cell>
          <cell r="W12">
            <v>713.77</v>
          </cell>
          <cell r="X12">
            <v>687.72</v>
          </cell>
          <cell r="Y12">
            <v>716.375</v>
          </cell>
          <cell r="Z12">
            <v>792.53674568639815</v>
          </cell>
          <cell r="AA12">
            <v>758.25795554999991</v>
          </cell>
          <cell r="AB12">
            <v>870.00123321000012</v>
          </cell>
          <cell r="AC12">
            <v>758.05500000000006</v>
          </cell>
          <cell r="AD12">
            <v>745.03</v>
          </cell>
          <cell r="AE12">
            <v>692.93000000000006</v>
          </cell>
          <cell r="AF12">
            <v>625.20000000000005</v>
          </cell>
          <cell r="AG12">
            <v>8717.8116811679993</v>
          </cell>
          <cell r="AH12">
            <v>8725</v>
          </cell>
          <cell r="AI12">
            <v>-7.1883188320007321</v>
          </cell>
          <cell r="AJ12">
            <v>-8.2387608389693202E-4</v>
          </cell>
          <cell r="AL12" t="str">
            <v>KRIEL</v>
          </cell>
          <cell r="AM12">
            <v>899.78599999999994</v>
          </cell>
          <cell r="AN12">
            <v>670</v>
          </cell>
          <cell r="AO12">
            <v>670</v>
          </cell>
          <cell r="AP12">
            <v>622</v>
          </cell>
          <cell r="AQ12">
            <v>650</v>
          </cell>
          <cell r="AR12">
            <v>738</v>
          </cell>
          <cell r="AS12">
            <v>730</v>
          </cell>
          <cell r="AT12">
            <v>728</v>
          </cell>
          <cell r="AU12">
            <v>728</v>
          </cell>
          <cell r="AV12">
            <v>751</v>
          </cell>
          <cell r="AW12">
            <v>696</v>
          </cell>
          <cell r="AX12">
            <v>624</v>
          </cell>
          <cell r="AY12">
            <v>8506.7860000000001</v>
          </cell>
          <cell r="AZ12">
            <v>8460</v>
          </cell>
          <cell r="BA12">
            <v>46.786000000000058</v>
          </cell>
          <cell r="BB12">
            <v>5.5302600472813311E-3</v>
          </cell>
          <cell r="BD12" t="str">
            <v>KRIEL</v>
          </cell>
          <cell r="BE12">
            <v>37.593549444727799</v>
          </cell>
          <cell r="BF12">
            <v>44.456036143374533</v>
          </cell>
          <cell r="BG12">
            <v>44.932773456298158</v>
          </cell>
          <cell r="BH12">
            <v>43.416429576528117</v>
          </cell>
          <cell r="BI12">
            <v>41.139661932514244</v>
          </cell>
          <cell r="BJ12">
            <v>38.840202827653918</v>
          </cell>
          <cell r="BK12">
            <v>36.950861714011126</v>
          </cell>
          <cell r="BL12">
            <v>35.971908596509273</v>
          </cell>
          <cell r="BM12">
            <v>31.052495736153279</v>
          </cell>
          <cell r="BN12">
            <v>30.011286796091849</v>
          </cell>
          <cell r="BO12">
            <v>30.218108202585501</v>
          </cell>
          <cell r="BP12">
            <v>30.324463599224615</v>
          </cell>
          <cell r="BQ12">
            <v>30.282891457215836</v>
          </cell>
          <cell r="BS12" t="str">
            <v>KRIEL</v>
          </cell>
          <cell r="BT12">
            <v>1085.155999999999</v>
          </cell>
          <cell r="BU12">
            <v>1283.244999999999</v>
          </cell>
          <cell r="BV12">
            <v>1297.0062532783988</v>
          </cell>
          <cell r="BW12">
            <v>1253.2362532783989</v>
          </cell>
          <cell r="BX12">
            <v>1187.5162532783988</v>
          </cell>
          <cell r="BY12">
            <v>1121.1412532783988</v>
          </cell>
          <cell r="BZ12">
            <v>1066.6045075920006</v>
          </cell>
          <cell r="CA12">
            <v>1038.3465520420007</v>
          </cell>
          <cell r="CB12">
            <v>896.34531883200054</v>
          </cell>
          <cell r="CC12">
            <v>866.29031883200037</v>
          </cell>
          <cell r="CD12">
            <v>872.26031883200039</v>
          </cell>
          <cell r="CE12">
            <v>875.33031883200033</v>
          </cell>
          <cell r="CF12">
            <v>874.13031883200028</v>
          </cell>
          <cell r="CH12" t="str">
            <v>KRIEL</v>
          </cell>
          <cell r="CI12">
            <v>28.865483999999995</v>
          </cell>
          <cell r="CJ12">
            <v>28.865483999999995</v>
          </cell>
          <cell r="CK12">
            <v>28.865483999999995</v>
          </cell>
          <cell r="CL12">
            <v>28.865483999999995</v>
          </cell>
          <cell r="CM12">
            <v>28.865483999999995</v>
          </cell>
          <cell r="CN12">
            <v>28.865483999999995</v>
          </cell>
          <cell r="CO12">
            <v>28.865483999999995</v>
          </cell>
          <cell r="CP12">
            <v>28.865483999999995</v>
          </cell>
          <cell r="CQ12">
            <v>28.865483999999995</v>
          </cell>
          <cell r="CR12">
            <v>28.865483999999995</v>
          </cell>
          <cell r="CS12">
            <v>28.865483999999995</v>
          </cell>
          <cell r="CT12">
            <v>28.865483999999995</v>
          </cell>
          <cell r="CV12" t="str">
            <v>KRIEL</v>
          </cell>
          <cell r="CW12">
            <v>2850</v>
          </cell>
          <cell r="CX12">
            <v>2850</v>
          </cell>
          <cell r="CY12">
            <v>2850</v>
          </cell>
          <cell r="CZ12">
            <v>2850</v>
          </cell>
          <cell r="DA12">
            <v>2850</v>
          </cell>
          <cell r="DB12">
            <v>2850</v>
          </cell>
          <cell r="DC12">
            <v>2850</v>
          </cell>
          <cell r="DD12">
            <v>2850</v>
          </cell>
          <cell r="DE12">
            <v>2850</v>
          </cell>
          <cell r="DF12">
            <v>2850</v>
          </cell>
          <cell r="DG12">
            <v>2850</v>
          </cell>
          <cell r="DH12">
            <v>2850</v>
          </cell>
          <cell r="DJ12" t="str">
            <v>KRIEL</v>
          </cell>
          <cell r="DK12">
            <v>0.89280000000000004</v>
          </cell>
          <cell r="DL12">
            <v>0.92630000000000001</v>
          </cell>
          <cell r="DM12">
            <v>0.89419999999999999</v>
          </cell>
          <cell r="DN12">
            <v>0.8911</v>
          </cell>
          <cell r="DO12">
            <v>0.89390000000000003</v>
          </cell>
          <cell r="DP12">
            <v>0.91400000000000003</v>
          </cell>
          <cell r="DQ12">
            <v>0.8075</v>
          </cell>
          <cell r="DR12">
            <v>0.92649999999999999</v>
          </cell>
          <cell r="DS12">
            <v>0.96950000000000003</v>
          </cell>
          <cell r="DT12">
            <v>0.85629999999999995</v>
          </cell>
          <cell r="DU12">
            <v>0.96830000000000005</v>
          </cell>
          <cell r="DV12">
            <v>0.96830000000000005</v>
          </cell>
          <cell r="DW12">
            <v>0.90429999999999999</v>
          </cell>
          <cell r="DY12" t="str">
            <v>KRIEL</v>
          </cell>
          <cell r="DZ12">
            <v>0.69764027244470683</v>
          </cell>
          <cell r="EA12">
            <v>0.71000000000000019</v>
          </cell>
          <cell r="EB12">
            <v>0.72255033391107837</v>
          </cell>
          <cell r="EC12">
            <v>0.72188851285059985</v>
          </cell>
          <cell r="ED12">
            <v>0.72543075761835774</v>
          </cell>
          <cell r="EE12">
            <v>0.81106961501537322</v>
          </cell>
          <cell r="EF12">
            <v>0.85</v>
          </cell>
          <cell r="EG12">
            <v>0.85000000000000009</v>
          </cell>
          <cell r="EH12">
            <v>0.73137114748363075</v>
          </cell>
          <cell r="EI12">
            <v>0.78757568189238825</v>
          </cell>
          <cell r="EJ12">
            <v>0.66936708473422302</v>
          </cell>
          <cell r="EK12">
            <v>0.58445828402697131</v>
          </cell>
          <cell r="EL12">
            <v>0.73844597416477742</v>
          </cell>
          <cell r="FC12" t="str">
            <v>KRIEL</v>
          </cell>
          <cell r="FD12">
            <v>1.93</v>
          </cell>
          <cell r="FE12">
            <v>0.65300000000000002</v>
          </cell>
          <cell r="FF12">
            <v>2.604407413972603</v>
          </cell>
          <cell r="FG12">
            <v>2.4810735368129322</v>
          </cell>
          <cell r="FH12">
            <v>2.6995602739726028</v>
          </cell>
          <cell r="FI12">
            <v>2.6012712328767122</v>
          </cell>
          <cell r="FJ12">
            <v>2.7092102739726029</v>
          </cell>
          <cell r="FK12">
            <v>2.9895559145940793</v>
          </cell>
          <cell r="FL12">
            <v>2.8643621054726029</v>
          </cell>
          <cell r="FM12">
            <v>3.278305533272603</v>
          </cell>
          <cell r="FN12">
            <v>2.8618212328767121</v>
          </cell>
          <cell r="FO12">
            <v>2.8153602739726029</v>
          </cell>
          <cell r="FP12">
            <v>2.6205712328767121</v>
          </cell>
          <cell r="FQ12">
            <v>2.3714602739726027</v>
          </cell>
          <cell r="FR12">
            <v>32.89695929864537</v>
          </cell>
        </row>
        <row r="13">
          <cell r="A13" t="str">
            <v>KRIEL</v>
          </cell>
          <cell r="B13">
            <v>1320.6980000000001</v>
          </cell>
          <cell r="C13">
            <v>1259.5753296000003</v>
          </cell>
          <cell r="D13">
            <v>1370</v>
          </cell>
          <cell r="E13">
            <v>1320</v>
          </cell>
          <cell r="F13">
            <v>1375</v>
          </cell>
          <cell r="G13">
            <v>1521.183772910553</v>
          </cell>
          <cell r="H13">
            <v>1455.3895499999999</v>
          </cell>
          <cell r="I13">
            <v>1669.8680100000001</v>
          </cell>
          <cell r="J13">
            <v>1455</v>
          </cell>
          <cell r="K13">
            <v>1430</v>
          </cell>
          <cell r="L13">
            <v>1330</v>
          </cell>
          <cell r="M13">
            <v>1200</v>
          </cell>
          <cell r="N13">
            <v>16706.714662510552</v>
          </cell>
          <cell r="O13">
            <v>16706.714662510552</v>
          </cell>
          <cell r="P13">
            <v>0</v>
          </cell>
          <cell r="Q13">
            <v>0</v>
          </cell>
          <cell r="S13" t="str">
            <v>LETHABO</v>
          </cell>
          <cell r="T13">
            <v>0.68700000000000006</v>
          </cell>
          <cell r="U13">
            <v>1172.4860000000001</v>
          </cell>
          <cell r="V13">
            <v>1081.8752206400004</v>
          </cell>
          <cell r="W13">
            <v>1064.8500000000001</v>
          </cell>
          <cell r="X13">
            <v>1188.7694716800002</v>
          </cell>
          <cell r="Y13">
            <v>1210.4940000000001</v>
          </cell>
          <cell r="Z13">
            <v>1253.7750000000001</v>
          </cell>
          <cell r="AA13">
            <v>1305.3000000000002</v>
          </cell>
          <cell r="AB13">
            <v>1133.5500000000002</v>
          </cell>
          <cell r="AC13">
            <v>1195.3800000000001</v>
          </cell>
          <cell r="AD13">
            <v>1202.25</v>
          </cell>
          <cell r="AE13">
            <v>1191.1267207343978</v>
          </cell>
          <cell r="AF13">
            <v>1044.5244283199972</v>
          </cell>
          <cell r="AG13">
            <v>14044.380841374395</v>
          </cell>
          <cell r="AH13">
            <v>14807</v>
          </cell>
          <cell r="AI13">
            <v>-762.61915862560454</v>
          </cell>
          <cell r="AJ13">
            <v>-5.1503961546944317E-2</v>
          </cell>
          <cell r="AL13" t="str">
            <v>LETHABO</v>
          </cell>
          <cell r="AM13">
            <v>1128.4850000000001</v>
          </cell>
          <cell r="AN13">
            <v>1061.6669999999999</v>
          </cell>
          <cell r="AO13">
            <v>1027.953</v>
          </cell>
          <cell r="AP13">
            <v>1096.5</v>
          </cell>
          <cell r="AQ13">
            <v>1219</v>
          </cell>
          <cell r="AR13">
            <v>1178.25</v>
          </cell>
          <cell r="AS13">
            <v>1259</v>
          </cell>
          <cell r="AT13">
            <v>1219</v>
          </cell>
          <cell r="AU13">
            <v>1177</v>
          </cell>
          <cell r="AV13">
            <v>1259</v>
          </cell>
          <cell r="AW13">
            <v>1219.25</v>
          </cell>
          <cell r="AX13">
            <v>1137</v>
          </cell>
          <cell r="AY13">
            <v>13982.105</v>
          </cell>
          <cell r="AZ13">
            <v>13941</v>
          </cell>
          <cell r="BA13">
            <v>41.104999999999563</v>
          </cell>
          <cell r="BB13">
            <v>2.9484972383616356E-3</v>
          </cell>
          <cell r="BD13" t="str">
            <v>LETHABO</v>
          </cell>
          <cell r="BE13">
            <v>28.898875776027392</v>
          </cell>
          <cell r="BF13">
            <v>27.945125869393049</v>
          </cell>
          <cell r="BG13">
            <v>27.507099721154447</v>
          </cell>
          <cell r="BH13">
            <v>26.707333572542201</v>
          </cell>
          <cell r="BI13">
            <v>24.707333572542201</v>
          </cell>
          <cell r="BJ13">
            <v>24.891706580106383</v>
          </cell>
          <cell r="BK13">
            <v>23.254653747248977</v>
          </cell>
          <cell r="BL13">
            <v>22.251071540545261</v>
          </cell>
          <cell r="BM13">
            <v>24.103255116416364</v>
          </cell>
          <cell r="BN13">
            <v>23.70485682356076</v>
          </cell>
          <cell r="BO13">
            <v>24.934949485125244</v>
          </cell>
          <cell r="BP13">
            <v>25.544539607482001</v>
          </cell>
          <cell r="BQ13">
            <v>27.549006957218602</v>
          </cell>
          <cell r="BS13" t="str">
            <v>LETHABO</v>
          </cell>
          <cell r="BT13">
            <v>1333.2419999999988</v>
          </cell>
          <cell r="BU13">
            <v>1289.2409999999988</v>
          </cell>
          <cell r="BV13">
            <v>1269.0327793599981</v>
          </cell>
          <cell r="BW13">
            <v>1232.135779359998</v>
          </cell>
          <cell r="BX13">
            <v>1139.866307679998</v>
          </cell>
          <cell r="BY13">
            <v>1148.3723076799979</v>
          </cell>
          <cell r="BZ13">
            <v>1072.8473076799978</v>
          </cell>
          <cell r="CA13">
            <v>1026.5473076799976</v>
          </cell>
          <cell r="CB13">
            <v>1111.9973076799974</v>
          </cell>
          <cell r="CC13">
            <v>1093.6173076799973</v>
          </cell>
          <cell r="CD13">
            <v>1150.3673076799973</v>
          </cell>
          <cell r="CE13">
            <v>1178.4905869455995</v>
          </cell>
          <cell r="CF13">
            <v>1270.9661586256025</v>
          </cell>
          <cell r="CH13" t="str">
            <v>LETHABO</v>
          </cell>
          <cell r="CI13">
            <v>46.134735840000005</v>
          </cell>
          <cell r="CJ13">
            <v>46.134735840000005</v>
          </cell>
          <cell r="CK13">
            <v>46.134735840000005</v>
          </cell>
          <cell r="CL13">
            <v>46.134735840000005</v>
          </cell>
          <cell r="CM13">
            <v>46.134735840000005</v>
          </cell>
          <cell r="CN13">
            <v>46.134735840000005</v>
          </cell>
          <cell r="CO13">
            <v>46.134735840000005</v>
          </cell>
          <cell r="CP13">
            <v>46.134735840000005</v>
          </cell>
          <cell r="CQ13">
            <v>46.134735840000005</v>
          </cell>
          <cell r="CR13">
            <v>46.134735840000005</v>
          </cell>
          <cell r="CS13">
            <v>46.134735840000005</v>
          </cell>
          <cell r="CT13">
            <v>46.134735840000005</v>
          </cell>
          <cell r="CV13" t="str">
            <v>LETHABO</v>
          </cell>
          <cell r="CW13">
            <v>3558</v>
          </cell>
          <cell r="CX13">
            <v>3558</v>
          </cell>
          <cell r="CY13">
            <v>3558</v>
          </cell>
          <cell r="CZ13">
            <v>3558</v>
          </cell>
          <cell r="DA13">
            <v>3558</v>
          </cell>
          <cell r="DB13">
            <v>3558</v>
          </cell>
          <cell r="DC13">
            <v>3558</v>
          </cell>
          <cell r="DD13">
            <v>3558</v>
          </cell>
          <cell r="DE13">
            <v>3558</v>
          </cell>
          <cell r="DF13">
            <v>3558</v>
          </cell>
          <cell r="DG13">
            <v>3558</v>
          </cell>
          <cell r="DH13">
            <v>3558</v>
          </cell>
          <cell r="DJ13" t="str">
            <v>LETHABO</v>
          </cell>
          <cell r="DK13">
            <v>0.96399999999999997</v>
          </cell>
          <cell r="DL13">
            <v>0.96399999999999997</v>
          </cell>
          <cell r="DM13">
            <v>0.85609677419354835</v>
          </cell>
          <cell r="DN13">
            <v>0.90233333333333332</v>
          </cell>
          <cell r="DO13">
            <v>0.91861290322580647</v>
          </cell>
          <cell r="DP13">
            <v>0.96399999999999997</v>
          </cell>
          <cell r="DQ13">
            <v>0.96399999999999997</v>
          </cell>
          <cell r="DR13">
            <v>0.80970967741935485</v>
          </cell>
          <cell r="DS13">
            <v>0.88011111111111107</v>
          </cell>
          <cell r="DT13">
            <v>0.83996774193548385</v>
          </cell>
          <cell r="DU13">
            <v>0.96399999999999997</v>
          </cell>
          <cell r="DV13">
            <v>0.96399999999999997</v>
          </cell>
          <cell r="DW13">
            <v>0.91535844748858453</v>
          </cell>
          <cell r="DY13" t="str">
            <v>LETHABO</v>
          </cell>
          <cell r="DZ13">
            <v>0.65505223031271476</v>
          </cell>
          <cell r="EA13">
            <v>0.68323197979986094</v>
          </cell>
          <cell r="EB13">
            <v>0.68395882612346126</v>
          </cell>
          <cell r="EC13">
            <v>0.74857525224807986</v>
          </cell>
          <cell r="ED13">
            <v>0.72459358261497564</v>
          </cell>
          <cell r="EE13">
            <v>0.73900503051455024</v>
          </cell>
          <cell r="EF13">
            <v>0.74455654864037768</v>
          </cell>
          <cell r="EG13">
            <v>0.76979615058928086</v>
          </cell>
          <cell r="EH13">
            <v>0.77174407561346203</v>
          </cell>
          <cell r="EI13">
            <v>0.78703955856187036</v>
          </cell>
          <cell r="EJ13">
            <v>0.70207863340951915</v>
          </cell>
          <cell r="EK13">
            <v>0.59580747975216486</v>
          </cell>
          <cell r="EL13">
            <v>0.71711994568169324</v>
          </cell>
          <cell r="FC13" t="str">
            <v>LETHABO</v>
          </cell>
          <cell r="FD13">
            <v>1.83</v>
          </cell>
          <cell r="FE13">
            <v>0.88100000000000001</v>
          </cell>
          <cell r="FF13">
            <v>3.1338489975342467</v>
          </cell>
          <cell r="FG13">
            <v>2.9494345860560638</v>
          </cell>
          <cell r="FH13">
            <v>2.9113246575342466</v>
          </cell>
          <cell r="FI13">
            <v>3.2390021280080399</v>
          </cell>
          <cell r="FJ13">
            <v>3.2992846575342467</v>
          </cell>
          <cell r="FK13">
            <v>3.4121609589041095</v>
          </cell>
          <cell r="FL13">
            <v>3.5518246575342465</v>
          </cell>
          <cell r="FM13">
            <v>3.0943246575342465</v>
          </cell>
          <cell r="FN13">
            <v>3.2566109589041097</v>
          </cell>
          <cell r="FO13">
            <v>3.2773246575342467</v>
          </cell>
          <cell r="FP13">
            <v>3.245281263043772</v>
          </cell>
          <cell r="FQ13">
            <v>2.8571823050241956</v>
          </cell>
          <cell r="FR13">
            <v>38.227604485145768</v>
          </cell>
        </row>
        <row r="14">
          <cell r="A14" t="str">
            <v>LETHABO</v>
          </cell>
          <cell r="B14">
            <v>1671.598</v>
          </cell>
          <cell r="C14">
            <v>1574.7819805531301</v>
          </cell>
          <cell r="D14">
            <v>1550</v>
          </cell>
          <cell r="E14">
            <v>1730.3776880349346</v>
          </cell>
          <cell r="F14">
            <v>1762</v>
          </cell>
          <cell r="G14">
            <v>1825</v>
          </cell>
          <cell r="H14">
            <v>1900</v>
          </cell>
          <cell r="I14">
            <v>1650</v>
          </cell>
          <cell r="J14">
            <v>1740</v>
          </cell>
          <cell r="K14">
            <v>1750</v>
          </cell>
          <cell r="L14">
            <v>1733.8089093659357</v>
          </cell>
          <cell r="M14">
            <v>1520.41401502183</v>
          </cell>
          <cell r="N14">
            <v>20407.980592975829</v>
          </cell>
          <cell r="O14">
            <v>20407.980592975829</v>
          </cell>
          <cell r="P14">
            <v>0</v>
          </cell>
          <cell r="Q14">
            <v>0</v>
          </cell>
          <cell r="S14" t="str">
            <v>MAJUBA</v>
          </cell>
          <cell r="T14">
            <v>0.53700000000000003</v>
          </cell>
          <cell r="U14">
            <v>21.915999999999997</v>
          </cell>
          <cell r="V14">
            <v>24.165000000000003</v>
          </cell>
          <cell r="W14">
            <v>48.330000000000005</v>
          </cell>
          <cell r="X14">
            <v>107.4</v>
          </cell>
          <cell r="Y14">
            <v>48.330000000000005</v>
          </cell>
          <cell r="Z14">
            <v>26.85</v>
          </cell>
          <cell r="AA14">
            <v>24.165000000000003</v>
          </cell>
          <cell r="AB14">
            <v>24.165000000000003</v>
          </cell>
          <cell r="AC14">
            <v>85.92</v>
          </cell>
          <cell r="AD14">
            <v>53.7</v>
          </cell>
          <cell r="AE14">
            <v>65.96417998799825</v>
          </cell>
          <cell r="AF14">
            <v>48.330000000000005</v>
          </cell>
          <cell r="AG14">
            <v>579.23517998799832</v>
          </cell>
          <cell r="AH14">
            <v>606</v>
          </cell>
          <cell r="AI14">
            <v>-26.764820012001678</v>
          </cell>
          <cell r="AJ14">
            <v>-4.4166369656768449E-2</v>
          </cell>
          <cell r="AL14" t="str">
            <v>MAJUBA</v>
          </cell>
          <cell r="AM14">
            <v>159.12099999999998</v>
          </cell>
          <cell r="AN14">
            <v>172.07499999999999</v>
          </cell>
          <cell r="AO14">
            <v>190</v>
          </cell>
          <cell r="AP14">
            <v>190</v>
          </cell>
          <cell r="AQ14">
            <v>180</v>
          </cell>
          <cell r="AR14">
            <v>180</v>
          </cell>
          <cell r="AS14">
            <v>180</v>
          </cell>
          <cell r="AT14">
            <v>180</v>
          </cell>
          <cell r="AU14">
            <v>180</v>
          </cell>
          <cell r="AV14">
            <v>100</v>
          </cell>
          <cell r="AW14">
            <v>100</v>
          </cell>
          <cell r="AX14">
            <v>130.87900000000002</v>
          </cell>
          <cell r="AY14">
            <v>1942.0749999999998</v>
          </cell>
          <cell r="AZ14">
            <v>3650</v>
          </cell>
          <cell r="BA14">
            <v>-1707.9250000000002</v>
          </cell>
          <cell r="BB14">
            <v>-0.46792465753424661</v>
          </cell>
          <cell r="BD14" t="str">
            <v>MAJUBA</v>
          </cell>
          <cell r="BE14">
            <v>171.02587472163324</v>
          </cell>
          <cell r="BF14">
            <v>171.64220993446079</v>
          </cell>
          <cell r="BG14">
            <v>172.46199450465411</v>
          </cell>
          <cell r="BH14">
            <v>172.95621133354175</v>
          </cell>
          <cell r="BI14">
            <v>129.9241625099277</v>
          </cell>
          <cell r="BJ14">
            <v>134.95926782863714</v>
          </cell>
          <cell r="BK14">
            <v>140.81577560991116</v>
          </cell>
          <cell r="BL14">
            <v>146.77495869900574</v>
          </cell>
          <cell r="BM14">
            <v>152.73414178810035</v>
          </cell>
          <cell r="BN14">
            <v>156.33179279732175</v>
          </cell>
          <cell r="BO14">
            <v>158.10232045173237</v>
          </cell>
          <cell r="BP14">
            <v>156.37069352632909</v>
          </cell>
          <cell r="BQ14">
            <v>158.51633913334032</v>
          </cell>
          <cell r="BS14" t="str">
            <v>MAJUBA</v>
          </cell>
          <cell r="BT14">
            <v>3277.9705199999989</v>
          </cell>
          <cell r="BU14">
            <v>3289.783519999999</v>
          </cell>
          <cell r="BV14">
            <v>3305.495935786314</v>
          </cell>
          <cell r="BW14">
            <v>3314.9683515726292</v>
          </cell>
          <cell r="BX14">
            <v>3397.5683515726291</v>
          </cell>
          <cell r="BY14">
            <v>3529.2383515726292</v>
          </cell>
          <cell r="BZ14">
            <v>3682.3883515726293</v>
          </cell>
          <cell r="CA14">
            <v>3838.2233515726293</v>
          </cell>
          <cell r="CB14">
            <v>3994.0583515726294</v>
          </cell>
          <cell r="CC14">
            <v>4088.1383515726293</v>
          </cell>
          <cell r="CD14">
            <v>4134.4383515726295</v>
          </cell>
          <cell r="CE14">
            <v>4089.1556210564204</v>
          </cell>
          <cell r="CF14">
            <v>4145.2651042136831</v>
          </cell>
          <cell r="CH14" t="str">
            <v>MAJUBA</v>
          </cell>
          <cell r="CI14">
            <v>19.166518080000003</v>
          </cell>
          <cell r="CJ14">
            <v>19.166518080000003</v>
          </cell>
          <cell r="CK14">
            <v>19.166518080000003</v>
          </cell>
          <cell r="CL14">
            <v>26.150396400000005</v>
          </cell>
          <cell r="CM14">
            <v>26.150396400000005</v>
          </cell>
          <cell r="CN14">
            <v>26.150396400000005</v>
          </cell>
          <cell r="CO14">
            <v>26.150396400000005</v>
          </cell>
          <cell r="CP14">
            <v>26.150396400000005</v>
          </cell>
          <cell r="CQ14">
            <v>26.150396400000005</v>
          </cell>
          <cell r="CR14">
            <v>26.150396400000005</v>
          </cell>
          <cell r="CS14">
            <v>26.150396400000005</v>
          </cell>
          <cell r="CT14">
            <v>26.150396400000005</v>
          </cell>
          <cell r="CV14" t="str">
            <v>MAJUBA</v>
          </cell>
          <cell r="CW14">
            <v>1836</v>
          </cell>
          <cell r="CX14">
            <v>1836</v>
          </cell>
          <cell r="CY14">
            <v>1836</v>
          </cell>
          <cell r="CZ14">
            <v>2505</v>
          </cell>
          <cell r="DA14">
            <v>2505</v>
          </cell>
          <cell r="DB14">
            <v>2505</v>
          </cell>
          <cell r="DC14">
            <v>2505</v>
          </cell>
          <cell r="DD14">
            <v>2505</v>
          </cell>
          <cell r="DE14">
            <v>2505</v>
          </cell>
          <cell r="DF14">
            <v>2505</v>
          </cell>
          <cell r="DG14">
            <v>2505</v>
          </cell>
          <cell r="DH14">
            <v>2505</v>
          </cell>
          <cell r="DJ14" t="str">
            <v>MAJUBA</v>
          </cell>
          <cell r="DK14">
            <v>0.96639999999999993</v>
          </cell>
          <cell r="DL14">
            <v>0.63306666666666667</v>
          </cell>
          <cell r="DM14">
            <v>0.89113118279569881</v>
          </cell>
          <cell r="DN14">
            <v>0.85238802395209579</v>
          </cell>
          <cell r="DO14">
            <v>0.96639999999999993</v>
          </cell>
          <cell r="DP14">
            <v>0.96639999999999993</v>
          </cell>
          <cell r="DQ14">
            <v>0.96639999999999993</v>
          </cell>
          <cell r="DR14">
            <v>0.96639999999999993</v>
          </cell>
          <cell r="DS14">
            <v>0.96639999999999993</v>
          </cell>
          <cell r="DT14">
            <v>0.91123291481553015</v>
          </cell>
          <cell r="DU14">
            <v>0.90939401197604786</v>
          </cell>
          <cell r="DV14">
            <v>0.96639999999999993</v>
          </cell>
          <cell r="DW14">
            <v>0.92125853778472444</v>
          </cell>
          <cell r="DY14" t="str">
            <v>MAJUBA</v>
          </cell>
          <cell r="DZ14">
            <v>8.1692346866231128E-2</v>
          </cell>
          <cell r="EA14">
            <v>5.7613083143956821E-2</v>
          </cell>
          <cell r="EB14">
            <v>7.393588166776259E-2</v>
          </cell>
          <cell r="EC14">
            <v>0.13009255096297628</v>
          </cell>
          <cell r="ED14">
            <v>4.9969490627802295E-2</v>
          </cell>
          <cell r="EE14">
            <v>2.8686189064108726E-2</v>
          </cell>
          <cell r="EF14">
            <v>2.4984745313901147E-2</v>
          </cell>
          <cell r="EG14">
            <v>2.4984745313901147E-2</v>
          </cell>
          <cell r="EH14">
            <v>9.1795805005147918E-2</v>
          </cell>
          <cell r="EI14">
            <v>5.8883000965643542E-2</v>
          </cell>
          <cell r="EJ14">
            <v>7.4893058277201038E-2</v>
          </cell>
          <cell r="EK14">
            <v>4.9969490627802295E-2</v>
          </cell>
          <cell r="EL14">
            <v>6.2291698986369583E-2</v>
          </cell>
          <cell r="FC14" t="str">
            <v>MAJUBA 1-3 (Dry)</v>
          </cell>
          <cell r="FD14">
            <v>0.16</v>
          </cell>
          <cell r="FE14">
            <v>0.30299999999999999</v>
          </cell>
          <cell r="FF14">
            <v>8.099200657534246E-2</v>
          </cell>
          <cell r="FG14">
            <v>7.0443835616438355E-2</v>
          </cell>
          <cell r="FH14">
            <v>8.013424657534246E-2</v>
          </cell>
          <cell r="FI14">
            <v>5.6904109589041095E-2</v>
          </cell>
          <cell r="FJ14">
            <v>4.0134246575342467E-2</v>
          </cell>
          <cell r="FK14">
            <v>3.2904109589041095E-2</v>
          </cell>
          <cell r="FL14">
            <v>3.2934246575342462E-2</v>
          </cell>
          <cell r="FM14">
            <v>3.2934246575342462E-2</v>
          </cell>
          <cell r="FN14">
            <v>5.0504109589041099E-2</v>
          </cell>
          <cell r="FO14">
            <v>4.1734246575342464E-2</v>
          </cell>
          <cell r="FP14">
            <v>4.4558241429040572E-2</v>
          </cell>
          <cell r="FQ14">
            <v>4.0134246575342467E-2</v>
          </cell>
          <cell r="FR14">
            <v>0.60431189183999934</v>
          </cell>
        </row>
        <row r="15">
          <cell r="A15" t="str">
            <v>MAJUBA</v>
          </cell>
          <cell r="B15">
            <v>107.84099999999999</v>
          </cell>
          <cell r="C15">
            <v>45</v>
          </cell>
          <cell r="D15">
            <v>90</v>
          </cell>
          <cell r="E15">
            <v>200</v>
          </cell>
          <cell r="F15">
            <v>90</v>
          </cell>
          <cell r="G15">
            <v>50</v>
          </cell>
          <cell r="H15">
            <v>45</v>
          </cell>
          <cell r="I15">
            <v>45</v>
          </cell>
          <cell r="J15">
            <v>160</v>
          </cell>
          <cell r="K15">
            <v>100</v>
          </cell>
          <cell r="L15">
            <v>122.83832399999675</v>
          </cell>
          <cell r="M15">
            <v>90</v>
          </cell>
          <cell r="N15">
            <v>1145.6793239999968</v>
          </cell>
          <cell r="O15">
            <v>1145.6793239999968</v>
          </cell>
          <cell r="P15">
            <v>0</v>
          </cell>
          <cell r="Q15">
            <v>0</v>
          </cell>
          <cell r="S15" t="str">
            <v>Majuba Pre</v>
          </cell>
          <cell r="T15">
            <v>0.52879033685473864</v>
          </cell>
          <cell r="U15">
            <v>125.392</v>
          </cell>
          <cell r="V15">
            <v>132.19758421368465</v>
          </cell>
          <cell r="W15">
            <v>132.19758421368465</v>
          </cell>
          <cell r="X15">
            <v>0</v>
          </cell>
          <cell r="Y15">
            <v>0</v>
          </cell>
          <cell r="Z15">
            <v>0</v>
          </cell>
          <cell r="AA15">
            <v>0</v>
          </cell>
          <cell r="AB15">
            <v>0</v>
          </cell>
          <cell r="AC15">
            <v>0</v>
          </cell>
          <cell r="AD15">
            <v>0</v>
          </cell>
          <cell r="AE15">
            <v>79.318550528210793</v>
          </cell>
          <cell r="AF15">
            <v>26.439516842736932</v>
          </cell>
          <cell r="AG15">
            <v>495.54523579831698</v>
          </cell>
          <cell r="AH15">
            <v>502</v>
          </cell>
          <cell r="AI15">
            <v>-6.4547642016830196</v>
          </cell>
          <cell r="AJ15">
            <v>-1.2858096019288884E-2</v>
          </cell>
          <cell r="AL15" t="str">
            <v>MATIMBA</v>
          </cell>
          <cell r="AM15">
            <v>906.65099999999995</v>
          </cell>
          <cell r="AN15">
            <v>809.524</v>
          </cell>
          <cell r="AO15">
            <v>1093.3489999999999</v>
          </cell>
          <cell r="AP15">
            <v>952.38099999999997</v>
          </cell>
          <cell r="AQ15">
            <v>952.38099999999997</v>
          </cell>
          <cell r="AR15">
            <v>1190.4760000000001</v>
          </cell>
          <cell r="AS15">
            <v>952.38099999999997</v>
          </cell>
          <cell r="AT15">
            <v>1047.6189999999999</v>
          </cell>
          <cell r="AU15">
            <v>1000</v>
          </cell>
          <cell r="AV15">
            <v>1190.4760000000001</v>
          </cell>
          <cell r="AW15">
            <v>1047.6189999999999</v>
          </cell>
          <cell r="AX15">
            <v>857.14300000000003</v>
          </cell>
          <cell r="AY15">
            <v>12000.000000000002</v>
          </cell>
          <cell r="AZ15">
            <v>12197</v>
          </cell>
          <cell r="BA15">
            <v>-196.99999999999818</v>
          </cell>
          <cell r="BB15">
            <v>-1.6151512667049124E-2</v>
          </cell>
          <cell r="BD15" t="str">
            <v>MATIMBA</v>
          </cell>
          <cell r="BE15">
            <v>27.962110289260103</v>
          </cell>
          <cell r="BF15">
            <v>24.999815590651274</v>
          </cell>
          <cell r="BG15">
            <v>23.443661357521506</v>
          </cell>
          <cell r="BH15">
            <v>24.390383828213373</v>
          </cell>
          <cell r="BI15">
            <v>24.901547411687435</v>
          </cell>
          <cell r="BJ15">
            <v>23.01631856539359</v>
          </cell>
          <cell r="BK15">
            <v>26.270814267733723</v>
          </cell>
          <cell r="BL15">
            <v>21.736896383109165</v>
          </cell>
          <cell r="BM15">
            <v>20.095296435305791</v>
          </cell>
          <cell r="BN15">
            <v>20.978364021595539</v>
          </cell>
          <cell r="BO15">
            <v>27.163524517003349</v>
          </cell>
          <cell r="BP15">
            <v>29.634362812923978</v>
          </cell>
          <cell r="BQ15">
            <v>26.250862892088275</v>
          </cell>
          <cell r="BS15" t="str">
            <v>MATIMBA</v>
          </cell>
          <cell r="BT15">
            <v>1018.9579999999995</v>
          </cell>
          <cell r="BU15">
            <v>911.00999999999942</v>
          </cell>
          <cell r="BV15">
            <v>854.30269898879953</v>
          </cell>
          <cell r="BW15">
            <v>888.80189898879962</v>
          </cell>
          <cell r="BX15">
            <v>907.429041836799</v>
          </cell>
          <cell r="BY15">
            <v>838.73004183679893</v>
          </cell>
          <cell r="BZ15">
            <v>957.32604183679905</v>
          </cell>
          <cell r="CA15">
            <v>792.107041836799</v>
          </cell>
          <cell r="CB15">
            <v>732.28604183679886</v>
          </cell>
          <cell r="CC15">
            <v>764.46561527679899</v>
          </cell>
          <cell r="CD15">
            <v>989.85700036479898</v>
          </cell>
          <cell r="CE15">
            <v>1079.896000364799</v>
          </cell>
          <cell r="CF15">
            <v>956.59900036479894</v>
          </cell>
          <cell r="CH15" t="str">
            <v>MATIMBA</v>
          </cell>
          <cell r="CI15">
            <v>36.440668799999997</v>
          </cell>
          <cell r="CJ15">
            <v>36.440668799999997</v>
          </cell>
          <cell r="CK15">
            <v>36.440668799999997</v>
          </cell>
          <cell r="CL15">
            <v>36.440668799999997</v>
          </cell>
          <cell r="CM15">
            <v>36.440668799999997</v>
          </cell>
          <cell r="CN15">
            <v>36.440668799999997</v>
          </cell>
          <cell r="CO15">
            <v>36.440668799999997</v>
          </cell>
          <cell r="CP15">
            <v>36.440668799999997</v>
          </cell>
          <cell r="CQ15">
            <v>36.440668799999997</v>
          </cell>
          <cell r="CR15">
            <v>36.440668799999997</v>
          </cell>
          <cell r="CS15">
            <v>36.440668799999997</v>
          </cell>
          <cell r="CT15">
            <v>36.440668799999997</v>
          </cell>
          <cell r="CV15" t="str">
            <v>MATIMBA</v>
          </cell>
          <cell r="CW15">
            <v>3690</v>
          </cell>
          <cell r="CX15">
            <v>3690</v>
          </cell>
          <cell r="CY15">
            <v>3690</v>
          </cell>
          <cell r="CZ15">
            <v>3690</v>
          </cell>
          <cell r="DA15">
            <v>3690</v>
          </cell>
          <cell r="DB15">
            <v>3690</v>
          </cell>
          <cell r="DC15">
            <v>3690</v>
          </cell>
          <cell r="DD15">
            <v>3690</v>
          </cell>
          <cell r="DE15">
            <v>3690</v>
          </cell>
          <cell r="DF15">
            <v>3690</v>
          </cell>
          <cell r="DG15">
            <v>3690</v>
          </cell>
          <cell r="DH15">
            <v>3690</v>
          </cell>
          <cell r="DJ15" t="str">
            <v>MATIMBA</v>
          </cell>
          <cell r="DK15">
            <v>0.83109677419354833</v>
          </cell>
          <cell r="DL15">
            <v>0.81899999999999995</v>
          </cell>
          <cell r="DM15">
            <v>0.94399999999999995</v>
          </cell>
          <cell r="DN15">
            <v>0.84399999999999997</v>
          </cell>
          <cell r="DO15">
            <v>0.89019999999999999</v>
          </cell>
          <cell r="DP15">
            <v>0.94399999999999995</v>
          </cell>
          <cell r="DQ15">
            <v>0.94399999999999995</v>
          </cell>
          <cell r="DR15">
            <v>0.94399999999999995</v>
          </cell>
          <cell r="DS15">
            <v>0.84399999999999997</v>
          </cell>
          <cell r="DT15">
            <v>0.81496774193548382</v>
          </cell>
          <cell r="DU15">
            <v>0.85511111111111104</v>
          </cell>
          <cell r="DV15">
            <v>0.87948387096774194</v>
          </cell>
          <cell r="DW15">
            <v>0.88007305936073055</v>
          </cell>
          <cell r="DY15" t="str">
            <v>MATIMBA</v>
          </cell>
          <cell r="DZ15">
            <v>0.86284071161107001</v>
          </cell>
          <cell r="EA15">
            <v>0.83963516581209185</v>
          </cell>
          <cell r="EB15">
            <v>0.80426533545907719</v>
          </cell>
          <cell r="EC15">
            <v>0.81972350302755315</v>
          </cell>
          <cell r="ED15">
            <v>0.82244935769307537</v>
          </cell>
          <cell r="EE15">
            <v>0.84130137440734121</v>
          </cell>
          <cell r="EF15">
            <v>0.84888993595603901</v>
          </cell>
          <cell r="EG15">
            <v>0.84117275472007502</v>
          </cell>
          <cell r="EH15">
            <v>0.84962985082720754</v>
          </cell>
          <cell r="EI15">
            <v>0.8491060972463218</v>
          </cell>
          <cell r="EJ15">
            <v>0.82971691203398523</v>
          </cell>
          <cell r="EK15">
            <v>0.79933738989189584</v>
          </cell>
          <cell r="EL15">
            <v>0.8340056990571445</v>
          </cell>
          <cell r="FC15" t="str">
            <v>MAJUBA 4-6 (Wet)</v>
          </cell>
          <cell r="FD15">
            <v>1.8</v>
          </cell>
          <cell r="FE15">
            <v>0</v>
          </cell>
          <cell r="FF15">
            <v>0.42753600000000003</v>
          </cell>
          <cell r="FG15">
            <v>0.45</v>
          </cell>
          <cell r="FH15">
            <v>0.45</v>
          </cell>
          <cell r="FI15">
            <v>0</v>
          </cell>
          <cell r="FJ15">
            <v>0</v>
          </cell>
          <cell r="FK15">
            <v>0</v>
          </cell>
          <cell r="FL15">
            <v>0</v>
          </cell>
          <cell r="FM15">
            <v>0</v>
          </cell>
          <cell r="FN15">
            <v>0</v>
          </cell>
          <cell r="FO15">
            <v>0</v>
          </cell>
          <cell r="FP15">
            <v>0.27</v>
          </cell>
          <cell r="FQ15">
            <v>0.09</v>
          </cell>
          <cell r="FR15">
            <v>1.6875360000000001</v>
          </cell>
        </row>
        <row r="16">
          <cell r="A16" t="str">
            <v>MAJUBA PRE-COMM</v>
          </cell>
          <cell r="B16">
            <v>237.52</v>
          </cell>
          <cell r="C16">
            <v>250</v>
          </cell>
          <cell r="D16">
            <v>250</v>
          </cell>
          <cell r="E16">
            <v>0</v>
          </cell>
          <cell r="F16">
            <v>0</v>
          </cell>
          <cell r="G16">
            <v>0</v>
          </cell>
          <cell r="H16">
            <v>0</v>
          </cell>
          <cell r="I16">
            <v>0</v>
          </cell>
          <cell r="J16">
            <v>0</v>
          </cell>
          <cell r="K16">
            <v>0</v>
          </cell>
          <cell r="L16">
            <v>150</v>
          </cell>
          <cell r="M16">
            <v>50</v>
          </cell>
          <cell r="N16">
            <v>937.52</v>
          </cell>
          <cell r="O16">
            <v>937.52</v>
          </cell>
          <cell r="P16">
            <v>0</v>
          </cell>
          <cell r="Q16">
            <v>0</v>
          </cell>
          <cell r="S16" t="str">
            <v>MAJUBA TOTAL</v>
          </cell>
          <cell r="T16">
            <v>0.53289516842736928</v>
          </cell>
          <cell r="U16">
            <v>147.30799999999999</v>
          </cell>
          <cell r="V16">
            <v>156.36258421368464</v>
          </cell>
          <cell r="W16">
            <v>180.52758421368466</v>
          </cell>
          <cell r="X16">
            <v>107.4</v>
          </cell>
          <cell r="Y16">
            <v>48.330000000000005</v>
          </cell>
          <cell r="Z16">
            <v>26.85</v>
          </cell>
          <cell r="AA16">
            <v>24.165000000000003</v>
          </cell>
          <cell r="AB16">
            <v>24.165000000000003</v>
          </cell>
          <cell r="AC16">
            <v>85.92</v>
          </cell>
          <cell r="AD16">
            <v>53.7</v>
          </cell>
          <cell r="AE16">
            <v>145.28273051620903</v>
          </cell>
          <cell r="AF16">
            <v>74.769516842736934</v>
          </cell>
          <cell r="AG16">
            <v>1074.7804157863152</v>
          </cell>
          <cell r="AH16">
            <v>1108</v>
          </cell>
          <cell r="AI16">
            <v>-33.219584213684811</v>
          </cell>
          <cell r="AJ16">
            <v>-2.9981574200076546E-2</v>
          </cell>
          <cell r="AL16" t="str">
            <v>MATLA</v>
          </cell>
          <cell r="AM16">
            <v>1098.1860000000001</v>
          </cell>
          <cell r="AN16">
            <v>1083.425</v>
          </cell>
          <cell r="AO16">
            <v>1165.7</v>
          </cell>
          <cell r="AP16">
            <v>1101.5</v>
          </cell>
          <cell r="AQ16">
            <v>1118</v>
          </cell>
          <cell r="AR16">
            <v>1141</v>
          </cell>
          <cell r="AS16">
            <v>1170</v>
          </cell>
          <cell r="AT16">
            <v>840</v>
          </cell>
          <cell r="AU16">
            <v>928.5</v>
          </cell>
          <cell r="AV16">
            <v>1097.3</v>
          </cell>
          <cell r="AW16">
            <v>1113.0889999999999</v>
          </cell>
          <cell r="AX16">
            <v>1035.9000000000001</v>
          </cell>
          <cell r="AY16">
            <v>12892.599999999999</v>
          </cell>
          <cell r="AZ16">
            <v>11535</v>
          </cell>
          <cell r="BA16">
            <v>1357.5999999999985</v>
          </cell>
          <cell r="BB16">
            <v>0.11769397485912428</v>
          </cell>
          <cell r="BD16" t="str">
            <v>MATLA</v>
          </cell>
          <cell r="BE16">
            <v>61.318123930085456</v>
          </cell>
          <cell r="BF16">
            <v>62.192408927174071</v>
          </cell>
          <cell r="BG16">
            <v>68.537494643690763</v>
          </cell>
          <cell r="BH16">
            <v>72.127329620264305</v>
          </cell>
          <cell r="BI16">
            <v>75.435127520279707</v>
          </cell>
          <cell r="BJ16">
            <v>76.627647346108944</v>
          </cell>
          <cell r="BK16">
            <v>79.179753546301853</v>
          </cell>
          <cell r="BL16">
            <v>80.960000316168944</v>
          </cell>
          <cell r="BM16">
            <v>72.859967333998725</v>
          </cell>
          <cell r="BN16">
            <v>69.049772178713056</v>
          </cell>
          <cell r="BO16">
            <v>71.709962651344924</v>
          </cell>
          <cell r="BP16">
            <v>79.092298100375501</v>
          </cell>
          <cell r="BQ16">
            <v>78.348582497222154</v>
          </cell>
          <cell r="BS16" t="str">
            <v>MATLA</v>
          </cell>
          <cell r="BT16">
            <v>2048.0169999999998</v>
          </cell>
          <cell r="BU16">
            <v>2077.2179999999998</v>
          </cell>
          <cell r="BV16">
            <v>2289.143</v>
          </cell>
          <cell r="BW16">
            <v>2409.0429999999997</v>
          </cell>
          <cell r="BX16">
            <v>2519.5229999999997</v>
          </cell>
          <cell r="BY16">
            <v>2559.3529999999996</v>
          </cell>
          <cell r="BZ16">
            <v>2644.5929999999998</v>
          </cell>
          <cell r="CA16">
            <v>2704.0529999999999</v>
          </cell>
          <cell r="CB16">
            <v>2433.5129999999999</v>
          </cell>
          <cell r="CC16">
            <v>2306.2529999999997</v>
          </cell>
          <cell r="CD16">
            <v>2395.1030000000001</v>
          </cell>
          <cell r="CE16">
            <v>2641.672</v>
          </cell>
          <cell r="CF16">
            <v>2616.8320000000003</v>
          </cell>
          <cell r="CH16" t="str">
            <v>MATLA</v>
          </cell>
          <cell r="CI16">
            <v>33.399864000000001</v>
          </cell>
          <cell r="CJ16">
            <v>33.399864000000001</v>
          </cell>
          <cell r="CK16">
            <v>33.399864000000001</v>
          </cell>
          <cell r="CL16">
            <v>33.399864000000001</v>
          </cell>
          <cell r="CM16">
            <v>33.399864000000001</v>
          </cell>
          <cell r="CN16">
            <v>33.399864000000001</v>
          </cell>
          <cell r="CO16">
            <v>33.399864000000001</v>
          </cell>
          <cell r="CP16">
            <v>33.399864000000001</v>
          </cell>
          <cell r="CQ16">
            <v>33.399864000000001</v>
          </cell>
          <cell r="CR16">
            <v>33.399864000000001</v>
          </cell>
          <cell r="CS16">
            <v>33.399864000000001</v>
          </cell>
          <cell r="CT16">
            <v>33.399864000000001</v>
          </cell>
          <cell r="CV16" t="str">
            <v>MATLA</v>
          </cell>
          <cell r="CW16">
            <v>3450</v>
          </cell>
          <cell r="CX16">
            <v>3450</v>
          </cell>
          <cell r="CY16">
            <v>3450</v>
          </cell>
          <cell r="CZ16">
            <v>3450</v>
          </cell>
          <cell r="DA16">
            <v>3450</v>
          </cell>
          <cell r="DB16">
            <v>3450</v>
          </cell>
          <cell r="DC16">
            <v>3450</v>
          </cell>
          <cell r="DD16">
            <v>3450</v>
          </cell>
          <cell r="DE16">
            <v>3450</v>
          </cell>
          <cell r="DF16">
            <v>3450</v>
          </cell>
          <cell r="DG16">
            <v>3450</v>
          </cell>
          <cell r="DH16">
            <v>3450</v>
          </cell>
          <cell r="DJ16" t="str">
            <v>MATLA</v>
          </cell>
          <cell r="DK16">
            <v>0.84609677419354834</v>
          </cell>
          <cell r="DL16">
            <v>0.86971428571428566</v>
          </cell>
          <cell r="DM16">
            <v>0.92136559139784946</v>
          </cell>
          <cell r="DN16">
            <v>0.95899999999999996</v>
          </cell>
          <cell r="DO16">
            <v>0.95899999999999996</v>
          </cell>
          <cell r="DP16">
            <v>0.95899999999999996</v>
          </cell>
          <cell r="DQ16">
            <v>0.95899999999999996</v>
          </cell>
          <cell r="DR16">
            <v>0.95899999999999996</v>
          </cell>
          <cell r="DS16">
            <v>0.95899999999999996</v>
          </cell>
          <cell r="DT16">
            <v>0.88373118279569884</v>
          </cell>
          <cell r="DU16">
            <v>0.79233333333333333</v>
          </cell>
          <cell r="DV16">
            <v>0.93211827956989246</v>
          </cell>
          <cell r="DW16">
            <v>0.91699086757990866</v>
          </cell>
          <cell r="DY16" t="str">
            <v>MATLA</v>
          </cell>
          <cell r="DZ16">
            <v>0.92760935226211805</v>
          </cell>
          <cell r="EA16">
            <v>0.86790677153757778</v>
          </cell>
          <cell r="EB16">
            <v>0.88796382790550632</v>
          </cell>
          <cell r="EC16">
            <v>0.8353776998651643</v>
          </cell>
          <cell r="ED16">
            <v>0.87952312540512922</v>
          </cell>
          <cell r="EE16">
            <v>0.8899501124191701</v>
          </cell>
          <cell r="EF16">
            <v>0.90592913147964804</v>
          </cell>
          <cell r="EG16">
            <v>0.90592913147964804</v>
          </cell>
          <cell r="EH16">
            <v>0.8899501124191701</v>
          </cell>
          <cell r="EI16">
            <v>0.89271496973233355</v>
          </cell>
          <cell r="EJ16">
            <v>0.8840762622475048</v>
          </cell>
          <cell r="EK16">
            <v>0.89025935888285734</v>
          </cell>
          <cell r="EL16">
            <v>0.88809915463631894</v>
          </cell>
          <cell r="FC16" t="str">
            <v>MATIMBA</v>
          </cell>
          <cell r="FD16">
            <v>0.16</v>
          </cell>
          <cell r="FE16">
            <v>0.56000000000000005</v>
          </cell>
          <cell r="FF16">
            <v>0.36255508383561647</v>
          </cell>
          <cell r="FG16">
            <v>0.31578766033358896</v>
          </cell>
          <cell r="FH16">
            <v>0.38105764383561641</v>
          </cell>
          <cell r="FI16">
            <v>0.34012310030027415</v>
          </cell>
          <cell r="FJ16">
            <v>0.36916164383561645</v>
          </cell>
          <cell r="FK16">
            <v>0.38362739726027401</v>
          </cell>
          <cell r="FL16">
            <v>0.39956164383561643</v>
          </cell>
          <cell r="FM16">
            <v>0.39636164383561645</v>
          </cell>
          <cell r="FN16">
            <v>0.35085272846027399</v>
          </cell>
          <cell r="FO16">
            <v>0.3515253020756165</v>
          </cell>
          <cell r="FP16">
            <v>0.34762739726027403</v>
          </cell>
          <cell r="FQ16">
            <v>0.35636164383561647</v>
          </cell>
          <cell r="FR16">
            <v>4.354602888704</v>
          </cell>
        </row>
        <row r="17">
          <cell r="A17" t="str">
            <v>MAJUBA TOTAL</v>
          </cell>
          <cell r="B17">
            <v>345.36099999999999</v>
          </cell>
          <cell r="C17">
            <v>295</v>
          </cell>
          <cell r="D17">
            <v>340</v>
          </cell>
          <cell r="E17">
            <v>200</v>
          </cell>
          <cell r="F17">
            <v>90</v>
          </cell>
          <cell r="G17">
            <v>50</v>
          </cell>
          <cell r="H17">
            <v>45</v>
          </cell>
          <cell r="I17">
            <v>45</v>
          </cell>
          <cell r="J17">
            <v>160</v>
          </cell>
          <cell r="K17">
            <v>100</v>
          </cell>
          <cell r="L17">
            <v>272.83832399999676</v>
          </cell>
          <cell r="M17">
            <v>140</v>
          </cell>
          <cell r="N17">
            <v>2083.1993239999965</v>
          </cell>
          <cell r="O17">
            <v>2083.1993239999965</v>
          </cell>
          <cell r="P17">
            <v>0</v>
          </cell>
          <cell r="Q17">
            <v>0</v>
          </cell>
          <cell r="S17" t="str">
            <v>MATIMBA</v>
          </cell>
          <cell r="T17">
            <v>0.50800000000000001</v>
          </cell>
          <cell r="U17">
            <v>1014.599</v>
          </cell>
          <cell r="V17">
            <v>866.23130101119989</v>
          </cell>
          <cell r="W17">
            <v>1058.8498</v>
          </cell>
          <cell r="X17">
            <v>933.75385715200048</v>
          </cell>
          <cell r="Y17">
            <v>1021.08</v>
          </cell>
          <cell r="Z17">
            <v>1071.8800000000001</v>
          </cell>
          <cell r="AA17">
            <v>1117.5999999999999</v>
          </cell>
          <cell r="AB17">
            <v>1107.44</v>
          </cell>
          <cell r="AC17">
            <v>967.82042655999987</v>
          </cell>
          <cell r="AD17">
            <v>965.08461491200001</v>
          </cell>
          <cell r="AE17">
            <v>957.58</v>
          </cell>
          <cell r="AF17">
            <v>980.44</v>
          </cell>
          <cell r="AG17">
            <v>12062.358999635202</v>
          </cell>
          <cell r="AH17">
            <v>11998</v>
          </cell>
          <cell r="AI17">
            <v>64.358999635202053</v>
          </cell>
          <cell r="AJ17">
            <v>5.3641439935991041E-3</v>
          </cell>
          <cell r="AL17" t="str">
            <v>TUTUKA</v>
          </cell>
          <cell r="AM17">
            <v>602.06100000000004</v>
          </cell>
          <cell r="AN17">
            <v>665</v>
          </cell>
          <cell r="AO17">
            <v>762</v>
          </cell>
          <cell r="AP17">
            <v>675</v>
          </cell>
          <cell r="AQ17">
            <v>831</v>
          </cell>
          <cell r="AR17">
            <v>650</v>
          </cell>
          <cell r="AS17">
            <v>820</v>
          </cell>
          <cell r="AT17">
            <v>609</v>
          </cell>
          <cell r="AU17">
            <v>791</v>
          </cell>
          <cell r="AV17">
            <v>833</v>
          </cell>
          <cell r="AW17">
            <v>781</v>
          </cell>
          <cell r="AX17">
            <v>980.93899999999996</v>
          </cell>
          <cell r="AY17">
            <v>9000</v>
          </cell>
          <cell r="AZ17">
            <v>7350</v>
          </cell>
          <cell r="BA17">
            <v>1650</v>
          </cell>
          <cell r="BB17">
            <v>0.22448979591836735</v>
          </cell>
          <cell r="BD17" t="str">
            <v>TUTUKA</v>
          </cell>
          <cell r="BE17">
            <v>50.301492811103465</v>
          </cell>
          <cell r="BF17">
            <v>50.860175809370539</v>
          </cell>
          <cell r="BG17">
            <v>55.77430647076195</v>
          </cell>
          <cell r="BH17">
            <v>64.434179417074972</v>
          </cell>
          <cell r="BI17">
            <v>68.873126471476994</v>
          </cell>
          <cell r="BJ17">
            <v>80.84474992254971</v>
          </cell>
          <cell r="BK17">
            <v>83.958260991318269</v>
          </cell>
          <cell r="BL17">
            <v>87.171344104145675</v>
          </cell>
          <cell r="BM17">
            <v>90.176960329291433</v>
          </cell>
          <cell r="BN17">
            <v>94.523331316079705</v>
          </cell>
          <cell r="BO17">
            <v>99.564656066459648</v>
          </cell>
          <cell r="BP17">
            <v>106.2474419453369</v>
          </cell>
          <cell r="BQ17">
            <v>117.21541417217887</v>
          </cell>
          <cell r="BS17" t="str">
            <v>TUTUKA</v>
          </cell>
          <cell r="BT17">
            <v>1668.0940000000001</v>
          </cell>
          <cell r="BU17">
            <v>1686.6210000000001</v>
          </cell>
          <cell r="BV17">
            <v>1849.5830000000001</v>
          </cell>
          <cell r="BW17">
            <v>2136.761</v>
          </cell>
          <cell r="BX17">
            <v>2283.9650000000001</v>
          </cell>
          <cell r="BY17">
            <v>2680.9670000000001</v>
          </cell>
          <cell r="BZ17">
            <v>2784.2170000000001</v>
          </cell>
          <cell r="CA17">
            <v>2890.7690000000002</v>
          </cell>
          <cell r="CB17">
            <v>2990.4410000000003</v>
          </cell>
          <cell r="CC17">
            <v>3134.5750000000003</v>
          </cell>
          <cell r="CD17">
            <v>3301.7550000000001</v>
          </cell>
          <cell r="CE17">
            <v>3523.3690000000001</v>
          </cell>
          <cell r="CF17">
            <v>3887.0879999999997</v>
          </cell>
          <cell r="CH17" t="str">
            <v>TUTUKA</v>
          </cell>
          <cell r="CI17">
            <v>33.161918400000005</v>
          </cell>
          <cell r="CJ17">
            <v>33.161918400000005</v>
          </cell>
          <cell r="CK17">
            <v>33.161918400000005</v>
          </cell>
          <cell r="CL17">
            <v>33.161918400000005</v>
          </cell>
          <cell r="CM17">
            <v>33.161918400000005</v>
          </cell>
          <cell r="CN17">
            <v>33.161918400000005</v>
          </cell>
          <cell r="CO17">
            <v>33.161918400000005</v>
          </cell>
          <cell r="CP17">
            <v>33.161918400000005</v>
          </cell>
          <cell r="CQ17">
            <v>33.161918400000005</v>
          </cell>
          <cell r="CR17">
            <v>33.161918400000005</v>
          </cell>
          <cell r="CS17">
            <v>33.161918400000005</v>
          </cell>
          <cell r="CT17">
            <v>33.161918400000005</v>
          </cell>
          <cell r="CV17" t="str">
            <v>TUTUKA</v>
          </cell>
          <cell r="CW17">
            <v>3510</v>
          </cell>
          <cell r="CX17">
            <v>3510</v>
          </cell>
          <cell r="CY17">
            <v>3510</v>
          </cell>
          <cell r="CZ17">
            <v>3510</v>
          </cell>
          <cell r="DA17">
            <v>3510</v>
          </cell>
          <cell r="DB17">
            <v>3510</v>
          </cell>
          <cell r="DC17">
            <v>3510</v>
          </cell>
          <cell r="DD17">
            <v>3510</v>
          </cell>
          <cell r="DE17">
            <v>3510</v>
          </cell>
          <cell r="DF17">
            <v>3510</v>
          </cell>
          <cell r="DG17">
            <v>3510</v>
          </cell>
          <cell r="DH17">
            <v>3510</v>
          </cell>
          <cell r="DJ17" t="str">
            <v>TUTUKA</v>
          </cell>
          <cell r="DK17">
            <v>0.97950000000000004</v>
          </cell>
          <cell r="DL17">
            <v>0.98450000000000004</v>
          </cell>
          <cell r="DM17">
            <v>0.93920000000000003</v>
          </cell>
          <cell r="DN17">
            <v>0.82824999999995963</v>
          </cell>
          <cell r="DO17">
            <v>0.63773476702507659</v>
          </cell>
          <cell r="DP17">
            <v>0.97450000000000003</v>
          </cell>
          <cell r="DQ17">
            <v>0.98450000000000004</v>
          </cell>
          <cell r="DR17">
            <v>0.98450000000000004</v>
          </cell>
          <cell r="DS17">
            <v>0.94279629629626949</v>
          </cell>
          <cell r="DT17">
            <v>0.83347491039423915</v>
          </cell>
          <cell r="DU17">
            <v>0.79834259259257911</v>
          </cell>
          <cell r="DV17">
            <v>0.97450000000000003</v>
          </cell>
          <cell r="DW17">
            <v>0.90461777016741673</v>
          </cell>
          <cell r="DY17" t="str">
            <v>TUTUKA</v>
          </cell>
          <cell r="DZ17">
            <v>0.43350663606225198</v>
          </cell>
          <cell r="EA17">
            <v>0.44484448581282848</v>
          </cell>
          <cell r="EB17">
            <v>0.39834230108267954</v>
          </cell>
          <cell r="EC17">
            <v>0.51883440554335525</v>
          </cell>
          <cell r="ED17">
            <v>0.53620556014784004</v>
          </cell>
          <cell r="EE17">
            <v>0.45680522848301203</v>
          </cell>
          <cell r="EF17">
            <v>0.57099234128128218</v>
          </cell>
          <cell r="EG17">
            <v>0.40762940985203255</v>
          </cell>
          <cell r="EH17">
            <v>0.55862526644873889</v>
          </cell>
          <cell r="EI17">
            <v>0.62943079075824093</v>
          </cell>
          <cell r="EJ17">
            <v>0.57048786476653046</v>
          </cell>
          <cell r="EK17">
            <v>0.49904743240724747</v>
          </cell>
          <cell r="EL17">
            <v>0.50206264355383667</v>
          </cell>
          <cell r="FC17" t="str">
            <v>MATLA</v>
          </cell>
          <cell r="FD17">
            <v>1.96</v>
          </cell>
          <cell r="FE17">
            <v>1.4510000000000001</v>
          </cell>
          <cell r="FF17">
            <v>4.0717457764383562</v>
          </cell>
          <cell r="FG17">
            <v>3.5413095890410959</v>
          </cell>
          <cell r="FH17">
            <v>4.2392356164383562</v>
          </cell>
          <cell r="FI17">
            <v>4.0196602739726028</v>
          </cell>
          <cell r="FJ17">
            <v>4.366635616438356</v>
          </cell>
          <cell r="FK17">
            <v>4.2744602739726023</v>
          </cell>
          <cell r="FL17">
            <v>4.4940356164383566</v>
          </cell>
          <cell r="FM17">
            <v>4.4940356164383566</v>
          </cell>
          <cell r="FN17">
            <v>4.2744602739726023</v>
          </cell>
          <cell r="FO17">
            <v>4.092235616438356</v>
          </cell>
          <cell r="FP17">
            <v>3.5296602739726026</v>
          </cell>
          <cell r="FQ17">
            <v>4.2980356164383569</v>
          </cell>
          <cell r="FR17">
            <v>49.695510159999998</v>
          </cell>
        </row>
        <row r="18">
          <cell r="A18" t="str">
            <v>MATIMBA</v>
          </cell>
          <cell r="B18">
            <v>1968.7090000000001</v>
          </cell>
          <cell r="C18">
            <v>1705.1797263999997</v>
          </cell>
          <cell r="D18">
            <v>2084.35</v>
          </cell>
          <cell r="E18">
            <v>1838.098144000001</v>
          </cell>
          <cell r="F18">
            <v>2010</v>
          </cell>
          <cell r="G18">
            <v>2110</v>
          </cell>
          <cell r="H18">
            <v>2200</v>
          </cell>
          <cell r="I18">
            <v>2180</v>
          </cell>
          <cell r="J18">
            <v>1905.1583199999998</v>
          </cell>
          <cell r="K18">
            <v>1899.772864</v>
          </cell>
          <cell r="L18">
            <v>1885</v>
          </cell>
          <cell r="M18">
            <v>1930</v>
          </cell>
          <cell r="N18">
            <v>23716.2680544</v>
          </cell>
          <cell r="O18">
            <v>23716.2680544</v>
          </cell>
          <cell r="P18">
            <v>0</v>
          </cell>
          <cell r="Q18">
            <v>0</v>
          </cell>
          <cell r="S18" t="str">
            <v>MATLA</v>
          </cell>
          <cell r="T18">
            <v>0.498</v>
          </cell>
          <cell r="U18">
            <v>1068.9849999999999</v>
          </cell>
          <cell r="V18">
            <v>871.5</v>
          </cell>
          <cell r="W18">
            <v>1045.8</v>
          </cell>
          <cell r="X18">
            <v>991.02</v>
          </cell>
          <cell r="Y18">
            <v>1078.17</v>
          </cell>
          <cell r="Z18">
            <v>1055.76</v>
          </cell>
          <cell r="AA18">
            <v>1110.54</v>
          </cell>
          <cell r="AB18">
            <v>1110.54</v>
          </cell>
          <cell r="AC18">
            <v>1055.76</v>
          </cell>
          <cell r="AD18">
            <v>1008.45</v>
          </cell>
          <cell r="AE18">
            <v>866.52</v>
          </cell>
          <cell r="AF18">
            <v>1060.74</v>
          </cell>
          <cell r="AG18">
            <v>12323.785000000002</v>
          </cell>
          <cell r="AH18">
            <v>12201</v>
          </cell>
          <cell r="AI18">
            <v>122.78500000000167</v>
          </cell>
          <cell r="AJ18">
            <v>1.0063519383657215E-2</v>
          </cell>
          <cell r="AL18" t="str">
            <v>TOTAL</v>
          </cell>
          <cell r="AM18">
            <v>7672.4060000000009</v>
          </cell>
          <cell r="AN18">
            <v>7234.0330000000004</v>
          </cell>
          <cell r="AO18">
            <v>7742.6259999999993</v>
          </cell>
          <cell r="AP18">
            <v>7334.3810000000003</v>
          </cell>
          <cell r="AQ18">
            <v>8020.3810000000003</v>
          </cell>
          <cell r="AR18">
            <v>8085.7260000000006</v>
          </cell>
          <cell r="AS18">
            <v>8170.3810000000003</v>
          </cell>
          <cell r="AT18">
            <v>7427.6189999999997</v>
          </cell>
          <cell r="AU18">
            <v>7640.5</v>
          </cell>
          <cell r="AV18">
            <v>8018.7760000000007</v>
          </cell>
          <cell r="AW18">
            <v>7750.9579999999996</v>
          </cell>
          <cell r="AX18">
            <v>7461.0619999999999</v>
          </cell>
          <cell r="AY18">
            <v>92558.849000000017</v>
          </cell>
          <cell r="AZ18">
            <v>91462</v>
          </cell>
          <cell r="BA18">
            <v>1096.8490000000165</v>
          </cell>
          <cell r="BB18">
            <v>1.1992401215805653E-2</v>
          </cell>
          <cell r="BD18" t="str">
            <v>SYSTEM</v>
          </cell>
          <cell r="BE18">
            <v>53.611263082061676</v>
          </cell>
          <cell r="BF18">
            <v>54.297147012098335</v>
          </cell>
          <cell r="BG18">
            <v>55.626509070240189</v>
          </cell>
          <cell r="BH18">
            <v>57.588773014234981</v>
          </cell>
          <cell r="BI18">
            <v>57.51590008174761</v>
          </cell>
          <cell r="BJ18">
            <v>59.255401753004193</v>
          </cell>
          <cell r="BK18">
            <v>60.363367697351364</v>
          </cell>
          <cell r="BL18">
            <v>60.203560653943285</v>
          </cell>
          <cell r="BM18">
            <v>59.275820128439562</v>
          </cell>
          <cell r="BN18">
            <v>59.187920804959077</v>
          </cell>
          <cell r="BO18">
            <v>60.154935568810295</v>
          </cell>
          <cell r="BP18">
            <v>61.946600695757908</v>
          </cell>
          <cell r="BQ18">
            <v>63.148536602150173</v>
          </cell>
          <cell r="BS18" t="str">
            <v>SYSTEM</v>
          </cell>
          <cell r="BT18">
            <v>16371.807519999995</v>
          </cell>
          <cell r="BU18">
            <v>16800.888519999997</v>
          </cell>
          <cell r="BV18">
            <v>17212.226223186917</v>
          </cell>
          <cell r="BW18">
            <v>17819.399520202434</v>
          </cell>
          <cell r="BX18">
            <v>18198.534869017076</v>
          </cell>
          <cell r="BY18">
            <v>18748.928443212786</v>
          </cell>
          <cell r="BZ18">
            <v>19099.498578483679</v>
          </cell>
          <cell r="CA18">
            <v>19048.934229362079</v>
          </cell>
          <cell r="CB18">
            <v>18755.38899615208</v>
          </cell>
          <cell r="CC18">
            <v>18727.576879832086</v>
          </cell>
          <cell r="CD18">
            <v>19033.548826264087</v>
          </cell>
          <cell r="CE18">
            <v>19600.447375013482</v>
          </cell>
          <cell r="CF18">
            <v>19980.750429850745</v>
          </cell>
          <cell r="CH18" t="str">
            <v>SYSTEM</v>
          </cell>
          <cell r="CI18">
            <v>309.42488592000001</v>
          </cell>
          <cell r="CJ18">
            <v>309.42488592000001</v>
          </cell>
          <cell r="CK18">
            <v>309.42488592000001</v>
          </cell>
          <cell r="CL18">
            <v>316.40876423999998</v>
          </cell>
          <cell r="CM18">
            <v>316.40876423999998</v>
          </cell>
          <cell r="CN18">
            <v>316.40876423999998</v>
          </cell>
          <cell r="CO18">
            <v>316.40876423999998</v>
          </cell>
          <cell r="CP18">
            <v>316.40876423999998</v>
          </cell>
          <cell r="CQ18">
            <v>316.40876423999998</v>
          </cell>
          <cell r="CR18">
            <v>316.40876423999998</v>
          </cell>
          <cell r="CS18">
            <v>316.40876423999998</v>
          </cell>
          <cell r="CT18">
            <v>316.40876423999998</v>
          </cell>
          <cell r="CV18" t="str">
            <v>COAL TOTAL</v>
          </cell>
          <cell r="CW18">
            <v>29734</v>
          </cell>
          <cell r="CX18">
            <v>29734</v>
          </cell>
          <cell r="CY18">
            <v>30064</v>
          </cell>
          <cell r="CZ18">
            <v>30733</v>
          </cell>
          <cell r="DA18">
            <v>30733</v>
          </cell>
          <cell r="DB18">
            <v>30733</v>
          </cell>
          <cell r="DC18">
            <v>30733</v>
          </cell>
          <cell r="DD18">
            <v>30733</v>
          </cell>
          <cell r="DE18">
            <v>30733</v>
          </cell>
          <cell r="DF18">
            <v>30733</v>
          </cell>
          <cell r="DG18">
            <v>30733</v>
          </cell>
          <cell r="DH18">
            <v>30733</v>
          </cell>
          <cell r="DJ18" t="str">
            <v>COAL TOTAL</v>
          </cell>
          <cell r="DY18" t="str">
            <v>COAL TOTAL</v>
          </cell>
          <cell r="FC18" t="str">
            <v>TUTUKA</v>
          </cell>
          <cell r="FD18">
            <v>1.93</v>
          </cell>
          <cell r="FE18">
            <v>1.2410000000000001</v>
          </cell>
          <cell r="FF18">
            <v>2.2455171699999998</v>
          </cell>
          <cell r="FG18">
            <v>2.0888899999999997</v>
          </cell>
          <cell r="FH18">
            <v>1.9910099999999999</v>
          </cell>
          <cell r="FI18">
            <v>2.1979799999999998</v>
          </cell>
          <cell r="FJ18">
            <v>1.8288899999999999</v>
          </cell>
          <cell r="FK18">
            <v>2.27325</v>
          </cell>
          <cell r="FL18">
            <v>2.9386399999999999</v>
          </cell>
          <cell r="FM18">
            <v>2.1280399999999999</v>
          </cell>
          <cell r="FN18">
            <v>2.6708299999999996</v>
          </cell>
          <cell r="FO18">
            <v>2.7494999999999998</v>
          </cell>
          <cell r="FP18">
            <v>2.3234299999999997</v>
          </cell>
          <cell r="FQ18">
            <v>2.5564999999999998</v>
          </cell>
          <cell r="FR18">
            <v>27.992477169999994</v>
          </cell>
        </row>
        <row r="19">
          <cell r="A19" t="str">
            <v>MATLA</v>
          </cell>
          <cell r="B19">
            <v>2014.546</v>
          </cell>
          <cell r="C19">
            <v>1750</v>
          </cell>
          <cell r="D19">
            <v>2100</v>
          </cell>
          <cell r="E19">
            <v>1990</v>
          </cell>
          <cell r="F19">
            <v>2165</v>
          </cell>
          <cell r="G19">
            <v>2120</v>
          </cell>
          <cell r="H19">
            <v>2230</v>
          </cell>
          <cell r="I19">
            <v>2230</v>
          </cell>
          <cell r="J19">
            <v>2120</v>
          </cell>
          <cell r="K19">
            <v>2025</v>
          </cell>
          <cell r="L19">
            <v>1740</v>
          </cell>
          <cell r="M19">
            <v>2130</v>
          </cell>
          <cell r="N19">
            <v>24614.546000000002</v>
          </cell>
          <cell r="O19">
            <v>24614.818611999999</v>
          </cell>
          <cell r="P19">
            <v>-0.27261199999702512</v>
          </cell>
          <cell r="Q19">
            <v>-1.1075117159877169E-5</v>
          </cell>
          <cell r="S19" t="str">
            <v>TUTUKA</v>
          </cell>
          <cell r="T19">
            <v>0.48599999999999999</v>
          </cell>
          <cell r="U19">
            <v>583.53399999999999</v>
          </cell>
          <cell r="V19">
            <v>502.03800000000001</v>
          </cell>
          <cell r="W19">
            <v>474.822</v>
          </cell>
          <cell r="X19">
            <v>527.79599999999994</v>
          </cell>
          <cell r="Y19">
            <v>433.99799999999999</v>
          </cell>
          <cell r="Z19">
            <v>546.75</v>
          </cell>
          <cell r="AA19">
            <v>713.44799999999998</v>
          </cell>
          <cell r="AB19">
            <v>509.32799999999997</v>
          </cell>
          <cell r="AC19">
            <v>646.86599999999999</v>
          </cell>
          <cell r="AD19">
            <v>665.81999999999994</v>
          </cell>
          <cell r="AE19">
            <v>559.38599999999997</v>
          </cell>
          <cell r="AF19">
            <v>617.22</v>
          </cell>
          <cell r="AG19">
            <v>6781.0060000000003</v>
          </cell>
          <cell r="AH19">
            <v>6897</v>
          </cell>
          <cell r="AI19">
            <v>-115.99399999999969</v>
          </cell>
          <cell r="AJ19">
            <v>-1.6818036827606159E-2</v>
          </cell>
          <cell r="BD19" t="str">
            <v>SYS - MJ</v>
          </cell>
          <cell r="BF19">
            <v>46.548546043805239</v>
          </cell>
          <cell r="BG19">
            <v>47.911556834311327</v>
          </cell>
          <cell r="BH19">
            <v>49.970759763333085</v>
          </cell>
          <cell r="BI19">
            <v>50.992385258650764</v>
          </cell>
          <cell r="BJ19">
            <v>52.434974415723829</v>
          </cell>
          <cell r="BK19">
            <v>53.115127538405609</v>
          </cell>
          <cell r="BL19">
            <v>52.404039170281891</v>
          </cell>
          <cell r="BM19">
            <v>50.855831493948124</v>
          </cell>
          <cell r="BN19">
            <v>50.435887989038775</v>
          </cell>
          <cell r="BO19">
            <v>51.330511452832049</v>
          </cell>
          <cell r="BP19">
            <v>53.439602342515059</v>
          </cell>
          <cell r="BQ19">
            <v>54.556516125544071</v>
          </cell>
          <cell r="BS19" t="str">
            <v>Note : * 98 Year end stockpiles as per Fuel Procurement</v>
          </cell>
          <cell r="DK19" t="str">
            <v xml:space="preserve"> </v>
          </cell>
          <cell r="DL19" t="str">
            <v xml:space="preserve"> </v>
          </cell>
          <cell r="DM19" t="str">
            <v xml:space="preserve"> </v>
          </cell>
          <cell r="DN19" t="str">
            <v xml:space="preserve"> </v>
          </cell>
          <cell r="DO19" t="str">
            <v xml:space="preserve"> </v>
          </cell>
          <cell r="DP19" t="str">
            <v xml:space="preserve"> </v>
          </cell>
          <cell r="DQ19" t="str">
            <v xml:space="preserve"> </v>
          </cell>
          <cell r="DR19" t="str">
            <v xml:space="preserve"> </v>
          </cell>
          <cell r="DS19" t="str">
            <v xml:space="preserve"> </v>
          </cell>
          <cell r="DT19" t="str">
            <v xml:space="preserve"> </v>
          </cell>
          <cell r="DU19" t="str">
            <v xml:space="preserve"> </v>
          </cell>
          <cell r="DV19" t="str">
            <v xml:space="preserve"> </v>
          </cell>
          <cell r="FC19" t="str">
            <v>TOTAL MONTHLY CONSUMPTION</v>
          </cell>
          <cell r="FF19">
            <v>19.345462079589041</v>
          </cell>
          <cell r="FG19">
            <v>18.324586391194998</v>
          </cell>
          <cell r="FH19">
            <v>18.68443927747704</v>
          </cell>
          <cell r="FI19">
            <v>18.641175505828031</v>
          </cell>
          <cell r="FJ19">
            <v>19.93439196292567</v>
          </cell>
          <cell r="FK19">
            <v>21.156646151280096</v>
          </cell>
          <cell r="FL19">
            <v>22.566226104896561</v>
          </cell>
          <cell r="FM19">
            <v>21.119889368889041</v>
          </cell>
          <cell r="FN19">
            <v>21.014455936350661</v>
          </cell>
          <cell r="FO19">
            <v>20.834671237909042</v>
          </cell>
          <cell r="FP19">
            <v>19.15892762663924</v>
          </cell>
          <cell r="FQ19">
            <v>19.36826175707899</v>
          </cell>
          <cell r="FR19">
            <v>240.14913340005842</v>
          </cell>
        </row>
        <row r="20">
          <cell r="A20" t="str">
            <v>TUTUKA</v>
          </cell>
          <cell r="B20">
            <v>1108.8689999999999</v>
          </cell>
          <cell r="C20">
            <v>1033</v>
          </cell>
          <cell r="D20">
            <v>977</v>
          </cell>
          <cell r="E20">
            <v>1086</v>
          </cell>
          <cell r="F20">
            <v>893</v>
          </cell>
          <cell r="G20">
            <v>1125</v>
          </cell>
          <cell r="H20">
            <v>1468</v>
          </cell>
          <cell r="I20">
            <v>1048</v>
          </cell>
          <cell r="J20">
            <v>1331</v>
          </cell>
          <cell r="K20">
            <v>1370</v>
          </cell>
          <cell r="L20">
            <v>1151</v>
          </cell>
          <cell r="M20">
            <v>1270</v>
          </cell>
          <cell r="N20">
            <v>13860.868999999999</v>
          </cell>
          <cell r="O20">
            <v>13780.868999999999</v>
          </cell>
          <cell r="P20">
            <v>80</v>
          </cell>
          <cell r="Q20">
            <v>5.8051491527856486E-3</v>
          </cell>
          <cell r="S20" t="str">
            <v>TOTAL(Excl. pre-comm.)</v>
          </cell>
          <cell r="U20">
            <v>7117.933</v>
          </cell>
          <cell r="V20">
            <v>6690.4977125993946</v>
          </cell>
          <cell r="W20">
            <v>7003.2551187708004</v>
          </cell>
          <cell r="X20">
            <v>6955.2456511853543</v>
          </cell>
          <cell r="Y20">
            <v>7469.987425804291</v>
          </cell>
          <cell r="Z20">
            <v>7735.1558647291085</v>
          </cell>
          <cell r="AA20">
            <v>8220.9453491215954</v>
          </cell>
          <cell r="AB20">
            <v>7721.1642332100009</v>
          </cell>
          <cell r="AC20">
            <v>7668.3121163199958</v>
          </cell>
          <cell r="AD20">
            <v>7712.8040535679993</v>
          </cell>
          <cell r="AE20">
            <v>7104.7409007223951</v>
          </cell>
          <cell r="AF20">
            <v>7054.3194283199982</v>
          </cell>
          <cell r="AG20">
            <v>88454.360854350933</v>
          </cell>
          <cell r="AH20">
            <v>90372</v>
          </cell>
          <cell r="AI20">
            <v>-1917.6391456490674</v>
          </cell>
          <cell r="AJ20">
            <v>-2.1219394786538611E-2</v>
          </cell>
          <cell r="AL20" t="str">
            <v>Note : These totals reflect the nett effect of all coal movements to and from a station</v>
          </cell>
          <cell r="BD20" t="str">
            <v>Usable Stock(*)</v>
          </cell>
          <cell r="BF20">
            <v>40.708868754844453</v>
          </cell>
          <cell r="BG20">
            <v>42.031080722974203</v>
          </cell>
          <cell r="BH20">
            <v>43.629532895812943</v>
          </cell>
          <cell r="BI20">
            <v>44.284850867203176</v>
          </cell>
          <cell r="BJ20">
            <v>45.251207077120867</v>
          </cell>
          <cell r="BK20">
            <v>45.943097315359779</v>
          </cell>
          <cell r="BL20">
            <v>45.364733597903488</v>
          </cell>
          <cell r="BM20">
            <v>43.776344494911427</v>
          </cell>
          <cell r="BN20">
            <v>43.459058352218342</v>
          </cell>
          <cell r="BO20">
            <v>44.304079023735511</v>
          </cell>
          <cell r="BP20">
            <v>46.196508522974732</v>
          </cell>
          <cell r="BQ20">
            <v>47.352584501333354</v>
          </cell>
          <cell r="CH20" t="str">
            <v>Notes :</v>
          </cell>
          <cell r="CI20" t="str">
            <v>Calculated on a 90% availability and a 90% load factor</v>
          </cell>
          <cell r="CV20" t="str">
            <v>KOEBERG</v>
          </cell>
          <cell r="CW20">
            <v>1840</v>
          </cell>
          <cell r="CX20">
            <v>1840</v>
          </cell>
          <cell r="CY20">
            <v>1840</v>
          </cell>
          <cell r="CZ20">
            <v>1840</v>
          </cell>
          <cell r="DA20">
            <v>1840</v>
          </cell>
          <cell r="DB20">
            <v>1840</v>
          </cell>
          <cell r="DC20">
            <v>1840</v>
          </cell>
          <cell r="DD20">
            <v>1840</v>
          </cell>
          <cell r="DE20">
            <v>1840</v>
          </cell>
          <cell r="DF20">
            <v>1840</v>
          </cell>
          <cell r="DG20">
            <v>1840</v>
          </cell>
          <cell r="DH20">
            <v>1840</v>
          </cell>
          <cell r="DJ20" t="str">
            <v>KOEBERG</v>
          </cell>
          <cell r="DK20">
            <v>0.55680645161290321</v>
          </cell>
          <cell r="DL20">
            <v>0.69571428571428573</v>
          </cell>
          <cell r="DM20">
            <v>0.95</v>
          </cell>
          <cell r="DN20">
            <v>0.95</v>
          </cell>
          <cell r="DO20">
            <v>0.95399999999999996</v>
          </cell>
          <cell r="DP20">
            <v>0.91899999999999993</v>
          </cell>
          <cell r="DQ20">
            <v>0.80899999999999994</v>
          </cell>
          <cell r="DR20">
            <v>0.70609677419354833</v>
          </cell>
          <cell r="DS20">
            <v>0.55033333333333323</v>
          </cell>
          <cell r="DT20">
            <v>0.95</v>
          </cell>
          <cell r="DU20">
            <v>0.95</v>
          </cell>
          <cell r="DV20">
            <v>0.95</v>
          </cell>
          <cell r="DW20">
            <v>0.82963127853881269</v>
          </cell>
          <cell r="DY20" t="str">
            <v>KOEBERG</v>
          </cell>
          <cell r="DZ20">
            <v>1.0425734209397242</v>
          </cell>
          <cell r="EA20">
            <v>0.99112244442460506</v>
          </cell>
          <cell r="EB20">
            <v>1.0016824143106715</v>
          </cell>
          <cell r="EC20">
            <v>1.0017003559623698</v>
          </cell>
          <cell r="ED20">
            <v>0.99748248804521811</v>
          </cell>
          <cell r="EE20">
            <v>1.0304797274920754</v>
          </cell>
          <cell r="EF20">
            <v>1.0678213367497835</v>
          </cell>
          <cell r="EG20">
            <v>1.0044296288056804</v>
          </cell>
          <cell r="EH20">
            <v>0.99481320060744927</v>
          </cell>
          <cell r="EI20">
            <v>1.0016824143106715</v>
          </cell>
          <cell r="EJ20">
            <v>1.0017003559623698</v>
          </cell>
          <cell r="EK20">
            <v>1.0016824143106715</v>
          </cell>
          <cell r="EL20">
            <v>1.0114308501601077</v>
          </cell>
          <cell r="FC20" t="str">
            <v>Notes :</v>
          </cell>
        </row>
        <row r="21">
          <cell r="A21" t="str">
            <v>COAL TOTAL</v>
          </cell>
          <cell r="B21">
            <v>13645.587000000003</v>
          </cell>
          <cell r="C21">
            <v>12795.618140714761</v>
          </cell>
          <cell r="D21">
            <v>13359.017942800001</v>
          </cell>
          <cell r="E21">
            <v>13013.679985368308</v>
          </cell>
          <cell r="F21">
            <v>14003.933609924505</v>
          </cell>
          <cell r="G21">
            <v>14535.212195729542</v>
          </cell>
          <cell r="H21">
            <v>15475.857396446972</v>
          </cell>
          <cell r="I21">
            <v>14562.86801</v>
          </cell>
          <cell r="J21">
            <v>14413.78631999999</v>
          </cell>
          <cell r="K21">
            <v>14477.919552000001</v>
          </cell>
          <cell r="L21">
            <v>13441.426592796533</v>
          </cell>
          <cell r="M21">
            <v>13355.41401502183</v>
          </cell>
          <cell r="N21">
            <v>167080.32076080248</v>
          </cell>
          <cell r="O21">
            <v>167080.74059339633</v>
          </cell>
          <cell r="P21">
            <v>-0.41983259384869598</v>
          </cell>
          <cell r="Q21">
            <v>-2.5127527706523067E-6</v>
          </cell>
          <cell r="BD21" t="str">
            <v>* Total system stockpile including only 30 days stock each at Majuba and Arnot</v>
          </cell>
          <cell r="BU21">
            <v>13511.104999999998</v>
          </cell>
          <cell r="BV21">
            <v>13906.730287400604</v>
          </cell>
          <cell r="BW21">
            <v>14504.431168629806</v>
          </cell>
          <cell r="BX21">
            <v>14800.966517444447</v>
          </cell>
          <cell r="BY21">
            <v>15219.690091640157</v>
          </cell>
          <cell r="BZ21">
            <v>15417.110226911049</v>
          </cell>
          <cell r="CA21">
            <v>15210.71087778945</v>
          </cell>
          <cell r="CB21">
            <v>14761.330644579451</v>
          </cell>
          <cell r="CC21">
            <v>14639.438528259456</v>
          </cell>
          <cell r="CD21">
            <v>14899.110474691457</v>
          </cell>
          <cell r="CE21">
            <v>15511.291753957063</v>
          </cell>
          <cell r="CF21">
            <v>15835.485325637062</v>
          </cell>
          <cell r="CI21" t="str">
            <v>*  4 Units available from 1 April 1999</v>
          </cell>
          <cell r="CV21" t="str">
            <v>NUCLEAR</v>
          </cell>
          <cell r="CW21">
            <v>1840</v>
          </cell>
          <cell r="CX21">
            <v>1840</v>
          </cell>
          <cell r="CY21">
            <v>1840</v>
          </cell>
          <cell r="CZ21">
            <v>1840</v>
          </cell>
          <cell r="DA21">
            <v>1840</v>
          </cell>
          <cell r="DB21">
            <v>1840</v>
          </cell>
          <cell r="DC21">
            <v>1840</v>
          </cell>
          <cell r="DD21">
            <v>1840</v>
          </cell>
          <cell r="DE21">
            <v>1840</v>
          </cell>
          <cell r="DF21">
            <v>1840</v>
          </cell>
          <cell r="DG21">
            <v>1840</v>
          </cell>
          <cell r="DH21">
            <v>1840</v>
          </cell>
          <cell r="DJ21" t="str">
            <v>NUCLEAR</v>
          </cell>
          <cell r="DK21" t="str">
            <v xml:space="preserve"> </v>
          </cell>
          <cell r="DL21" t="str">
            <v xml:space="preserve"> </v>
          </cell>
          <cell r="DM21" t="str">
            <v xml:space="preserve"> </v>
          </cell>
          <cell r="DN21" t="str">
            <v xml:space="preserve"> </v>
          </cell>
          <cell r="DO21" t="str">
            <v xml:space="preserve"> </v>
          </cell>
          <cell r="DP21" t="str">
            <v xml:space="preserve"> </v>
          </cell>
          <cell r="DQ21" t="str">
            <v xml:space="preserve"> </v>
          </cell>
          <cell r="DR21" t="str">
            <v xml:space="preserve"> </v>
          </cell>
          <cell r="DS21" t="str">
            <v xml:space="preserve"> </v>
          </cell>
          <cell r="DT21" t="str">
            <v xml:space="preserve"> </v>
          </cell>
          <cell r="DU21" t="str">
            <v xml:space="preserve"> </v>
          </cell>
          <cell r="DV21" t="str">
            <v xml:space="preserve"> </v>
          </cell>
          <cell r="DY21" t="str">
            <v>NUCLEAR</v>
          </cell>
          <cell r="FC21" t="str">
            <v>Eskom 3rd Parties include Eskom collieries and other small users at the power stations</v>
          </cell>
        </row>
        <row r="22">
          <cell r="S22" t="str">
            <v>Note : Burn Rate based on Heat Rates and C.V's from Operational Engineering and Fuel Procurement respectively. Lethabo burn rate as per 1998 STEP report</v>
          </cell>
          <cell r="AL22" t="str">
            <v>-- TABLE 3.1 --</v>
          </cell>
          <cell r="BD22" t="str">
            <v>-- TABLE 3.2 --</v>
          </cell>
          <cell r="BU22" t="str">
            <v>JAN</v>
          </cell>
          <cell r="BV22" t="str">
            <v>FEB</v>
          </cell>
          <cell r="BW22" t="str">
            <v>MAR</v>
          </cell>
          <cell r="BX22" t="str">
            <v>APR</v>
          </cell>
          <cell r="BY22" t="str">
            <v>MAY</v>
          </cell>
          <cell r="BZ22" t="str">
            <v>JUN</v>
          </cell>
          <cell r="CA22" t="str">
            <v>JUL</v>
          </cell>
          <cell r="CB22" t="str">
            <v>AUG</v>
          </cell>
          <cell r="CC22" t="str">
            <v>SEP</v>
          </cell>
          <cell r="CD22" t="str">
            <v>OCT</v>
          </cell>
          <cell r="CE22" t="str">
            <v>NOV</v>
          </cell>
          <cell r="CF22" t="str">
            <v>DEC</v>
          </cell>
          <cell r="CI22" t="str">
            <v>^ 6 Units available from Jan 1999</v>
          </cell>
          <cell r="DK22" t="str">
            <v xml:space="preserve"> </v>
          </cell>
          <cell r="DL22" t="str">
            <v xml:space="preserve"> </v>
          </cell>
          <cell r="DM22" t="str">
            <v xml:space="preserve"> </v>
          </cell>
          <cell r="DN22" t="str">
            <v xml:space="preserve"> </v>
          </cell>
          <cell r="DO22" t="str">
            <v xml:space="preserve"> </v>
          </cell>
          <cell r="DP22" t="str">
            <v xml:space="preserve"> </v>
          </cell>
          <cell r="DQ22" t="str">
            <v xml:space="preserve"> </v>
          </cell>
          <cell r="DR22" t="str">
            <v xml:space="preserve"> </v>
          </cell>
          <cell r="DS22" t="str">
            <v xml:space="preserve"> </v>
          </cell>
          <cell r="DT22" t="str">
            <v xml:space="preserve"> </v>
          </cell>
          <cell r="DU22" t="str">
            <v xml:space="preserve"> </v>
          </cell>
          <cell r="DV22" t="str">
            <v xml:space="preserve"> </v>
          </cell>
          <cell r="FC22" t="str">
            <v>These 3rd parties water usage are assumed to remain constant, and are obtained from Hydro and Water Statistics 1996 figures</v>
          </cell>
        </row>
        <row r="23">
          <cell r="A23" t="str">
            <v>KOEBERG</v>
          </cell>
          <cell r="B23">
            <v>825.18700000000001</v>
          </cell>
          <cell r="C23">
            <v>852.6</v>
          </cell>
          <cell r="D23">
            <v>1302.7</v>
          </cell>
          <cell r="E23">
            <v>1260.7</v>
          </cell>
          <cell r="F23">
            <v>1302.7</v>
          </cell>
          <cell r="G23">
            <v>1254.5999999999999</v>
          </cell>
          <cell r="H23">
            <v>1182.5999999999999</v>
          </cell>
          <cell r="I23">
            <v>970.9</v>
          </cell>
          <cell r="J23">
            <v>725.3</v>
          </cell>
          <cell r="K23">
            <v>1302.7</v>
          </cell>
          <cell r="L23">
            <v>1260.7</v>
          </cell>
          <cell r="M23">
            <v>1302.7</v>
          </cell>
          <cell r="N23">
            <v>13543.387000000001</v>
          </cell>
          <cell r="O23">
            <v>13543.387000000001</v>
          </cell>
          <cell r="P23">
            <v>0</v>
          </cell>
          <cell r="Q23">
            <v>0</v>
          </cell>
          <cell r="S23" t="str">
            <v xml:space="preserve">* - Precommercial operation of units coming into service </v>
          </cell>
          <cell r="CV23" t="str">
            <v>ACACIA</v>
          </cell>
          <cell r="CW23">
            <v>171</v>
          </cell>
          <cell r="CX23">
            <v>171</v>
          </cell>
          <cell r="CY23">
            <v>171</v>
          </cell>
          <cell r="CZ23">
            <v>171</v>
          </cell>
          <cell r="DA23">
            <v>171</v>
          </cell>
          <cell r="DB23">
            <v>171</v>
          </cell>
          <cell r="DC23">
            <v>171</v>
          </cell>
          <cell r="DD23">
            <v>171</v>
          </cell>
          <cell r="DE23">
            <v>171</v>
          </cell>
          <cell r="DF23">
            <v>171</v>
          </cell>
          <cell r="DG23">
            <v>171</v>
          </cell>
          <cell r="DH23">
            <v>171</v>
          </cell>
          <cell r="DJ23" t="str">
            <v>ACACIA</v>
          </cell>
          <cell r="DK23">
            <v>0.9773863201912093</v>
          </cell>
          <cell r="DL23">
            <v>0.95308227513249844</v>
          </cell>
          <cell r="DM23">
            <v>0.74401971326167482</v>
          </cell>
          <cell r="DN23">
            <v>0.75089691358032418</v>
          </cell>
          <cell r="DO23">
            <v>0.96948632019120928</v>
          </cell>
          <cell r="DP23">
            <v>0.96838919753091635</v>
          </cell>
          <cell r="DQ23">
            <v>0.96398632019120933</v>
          </cell>
          <cell r="DR23">
            <v>0.96948632019120928</v>
          </cell>
          <cell r="DS23">
            <v>0.97338919753091635</v>
          </cell>
          <cell r="DT23">
            <v>0.97898632019120935</v>
          </cell>
          <cell r="DU23">
            <v>0.97838919753091624</v>
          </cell>
          <cell r="DV23">
            <v>0.95750334528096626</v>
          </cell>
          <cell r="DW23">
            <v>0.9337639269407163</v>
          </cell>
          <cell r="DY23" t="str">
            <v>ACACIA</v>
          </cell>
          <cell r="DZ23">
            <v>0</v>
          </cell>
          <cell r="EA23">
            <v>0</v>
          </cell>
          <cell r="EB23">
            <v>0</v>
          </cell>
          <cell r="EC23">
            <v>0</v>
          </cell>
          <cell r="ED23">
            <v>0</v>
          </cell>
          <cell r="EE23">
            <v>1.9290758004166403E-4</v>
          </cell>
          <cell r="EF23">
            <v>2.4461401602629524E-5</v>
          </cell>
          <cell r="EG23">
            <v>0</v>
          </cell>
          <cell r="EH23">
            <v>0</v>
          </cell>
          <cell r="EI23">
            <v>0</v>
          </cell>
          <cell r="EJ23">
            <v>0</v>
          </cell>
          <cell r="EK23">
            <v>0</v>
          </cell>
          <cell r="EL23">
            <v>1.811408180369113E-5</v>
          </cell>
          <cell r="FC23" t="str">
            <v>Net water consumption rate obtained from Hydro and Water Statistics 1989 to 1995 in conjunction with TRI figures</v>
          </cell>
        </row>
        <row r="24">
          <cell r="A24" t="str">
            <v>NUCLEAR</v>
          </cell>
          <cell r="B24">
            <v>825.18700000000001</v>
          </cell>
          <cell r="C24">
            <v>852.6</v>
          </cell>
          <cell r="D24">
            <v>1302.7</v>
          </cell>
          <cell r="E24">
            <v>1260.7</v>
          </cell>
          <cell r="F24">
            <v>1302.7</v>
          </cell>
          <cell r="G24">
            <v>1254.5999999999999</v>
          </cell>
          <cell r="H24">
            <v>1182.5999999999999</v>
          </cell>
          <cell r="I24">
            <v>970.9</v>
          </cell>
          <cell r="J24">
            <v>725.3</v>
          </cell>
          <cell r="K24">
            <v>1302.7</v>
          </cell>
          <cell r="L24">
            <v>1260.7</v>
          </cell>
          <cell r="M24">
            <v>1302.7</v>
          </cell>
          <cell r="N24">
            <v>13543.387000000001</v>
          </cell>
          <cell r="O24">
            <v>13543.387000000001</v>
          </cell>
          <cell r="P24">
            <v>0</v>
          </cell>
          <cell r="Q24">
            <v>0</v>
          </cell>
          <cell r="AL24" t="str">
            <v>TOTAL MINE DELIVERY  (kT) FOR 1999</v>
          </cell>
          <cell r="BD24" t="str">
            <v>COAL MOVEMENTS  (kT) FOR 1998</v>
          </cell>
          <cell r="CV24" t="str">
            <v>PORT REX</v>
          </cell>
          <cell r="CW24">
            <v>171</v>
          </cell>
          <cell r="CX24">
            <v>171</v>
          </cell>
          <cell r="CY24">
            <v>171</v>
          </cell>
          <cell r="CZ24">
            <v>171</v>
          </cell>
          <cell r="DA24">
            <v>171</v>
          </cell>
          <cell r="DB24">
            <v>171</v>
          </cell>
          <cell r="DC24">
            <v>171</v>
          </cell>
          <cell r="DD24">
            <v>171</v>
          </cell>
          <cell r="DE24">
            <v>171</v>
          </cell>
          <cell r="DF24">
            <v>171</v>
          </cell>
          <cell r="DG24">
            <v>171</v>
          </cell>
          <cell r="DH24">
            <v>171</v>
          </cell>
          <cell r="DJ24" t="str">
            <v>PORT REX</v>
          </cell>
          <cell r="DK24">
            <v>0.99519999999999997</v>
          </cell>
          <cell r="DL24">
            <v>0.85386765873032622</v>
          </cell>
          <cell r="DM24">
            <v>0.99850000000000005</v>
          </cell>
          <cell r="DN24">
            <v>0.96830000000000005</v>
          </cell>
          <cell r="DO24">
            <v>0.933258960573628</v>
          </cell>
          <cell r="DP24">
            <v>0.98640000000000005</v>
          </cell>
          <cell r="DQ24">
            <v>0.98129999999999995</v>
          </cell>
          <cell r="DR24">
            <v>0.933258960573628</v>
          </cell>
          <cell r="DS24">
            <v>0.99170000000000003</v>
          </cell>
          <cell r="DT24">
            <v>0.99690000000000001</v>
          </cell>
          <cell r="DU24">
            <v>0.94126759259274895</v>
          </cell>
          <cell r="DV24">
            <v>0.99690000000000001</v>
          </cell>
          <cell r="DW24">
            <v>0.96735007610355217</v>
          </cell>
          <cell r="DY24" t="str">
            <v>PORT REX</v>
          </cell>
          <cell r="DZ24">
            <v>0</v>
          </cell>
          <cell r="EA24">
            <v>0</v>
          </cell>
          <cell r="EB24">
            <v>2.3615880338145396E-4</v>
          </cell>
          <cell r="EC24">
            <v>0</v>
          </cell>
          <cell r="ED24">
            <v>0</v>
          </cell>
          <cell r="EE24">
            <v>0</v>
          </cell>
          <cell r="EF24">
            <v>0</v>
          </cell>
          <cell r="EG24">
            <v>0</v>
          </cell>
          <cell r="EH24">
            <v>0</v>
          </cell>
          <cell r="EI24">
            <v>0</v>
          </cell>
          <cell r="EJ24">
            <v>0</v>
          </cell>
          <cell r="EK24">
            <v>0</v>
          </cell>
          <cell r="EL24">
            <v>1.9679900281787829E-5</v>
          </cell>
          <cell r="FC24" t="str">
            <v>Water requirement before and during commissioning not included</v>
          </cell>
        </row>
        <row r="25">
          <cell r="CV25" t="str">
            <v>TURBINES</v>
          </cell>
          <cell r="CW25">
            <v>342</v>
          </cell>
          <cell r="CX25">
            <v>342</v>
          </cell>
          <cell r="CY25">
            <v>342</v>
          </cell>
          <cell r="CZ25">
            <v>342</v>
          </cell>
          <cell r="DA25">
            <v>342</v>
          </cell>
          <cell r="DB25">
            <v>342</v>
          </cell>
          <cell r="DC25">
            <v>342</v>
          </cell>
          <cell r="DD25">
            <v>342</v>
          </cell>
          <cell r="DE25">
            <v>342</v>
          </cell>
          <cell r="DF25">
            <v>342</v>
          </cell>
          <cell r="DG25">
            <v>342</v>
          </cell>
          <cell r="DH25">
            <v>342</v>
          </cell>
          <cell r="DJ25" t="str">
            <v>TURBINES</v>
          </cell>
          <cell r="DK25" t="str">
            <v xml:space="preserve"> </v>
          </cell>
          <cell r="DL25" t="str">
            <v xml:space="preserve"> </v>
          </cell>
          <cell r="DM25" t="str">
            <v xml:space="preserve"> </v>
          </cell>
          <cell r="DN25" t="str">
            <v xml:space="preserve"> </v>
          </cell>
          <cell r="DO25" t="str">
            <v xml:space="preserve"> </v>
          </cell>
          <cell r="DP25" t="str">
            <v xml:space="preserve"> </v>
          </cell>
          <cell r="DQ25" t="str">
            <v xml:space="preserve"> </v>
          </cell>
          <cell r="DR25" t="str">
            <v xml:space="preserve"> </v>
          </cell>
          <cell r="DS25" t="str">
            <v xml:space="preserve"> </v>
          </cell>
          <cell r="DT25" t="str">
            <v xml:space="preserve"> </v>
          </cell>
          <cell r="DU25" t="str">
            <v xml:space="preserve"> </v>
          </cell>
          <cell r="DV25" t="str">
            <v xml:space="preserve"> </v>
          </cell>
          <cell r="DY25" t="str">
            <v>TURBINES</v>
          </cell>
        </row>
        <row r="26">
          <cell r="A26" t="str">
            <v>ACACIA</v>
          </cell>
          <cell r="B26">
            <v>0</v>
          </cell>
          <cell r="C26">
            <v>0</v>
          </cell>
          <cell r="D26">
            <v>0</v>
          </cell>
          <cell r="E26">
            <v>0</v>
          </cell>
          <cell r="F26">
            <v>0</v>
          </cell>
          <cell r="G26">
            <v>2.3E-2</v>
          </cell>
          <cell r="H26">
            <v>3.0000000000000001E-3</v>
          </cell>
          <cell r="I26">
            <v>0</v>
          </cell>
          <cell r="J26">
            <v>0</v>
          </cell>
          <cell r="K26">
            <v>0</v>
          </cell>
          <cell r="L26">
            <v>0</v>
          </cell>
          <cell r="M26">
            <v>0</v>
          </cell>
          <cell r="N26">
            <v>2.5999999999999999E-2</v>
          </cell>
          <cell r="O26">
            <v>2.5999999999999999E-2</v>
          </cell>
          <cell r="P26">
            <v>0</v>
          </cell>
          <cell r="AM26" t="str">
            <v>JAN</v>
          </cell>
          <cell r="AN26" t="str">
            <v>FEB</v>
          </cell>
          <cell r="AO26" t="str">
            <v>MAR</v>
          </cell>
          <cell r="AP26" t="str">
            <v>APR</v>
          </cell>
          <cell r="AQ26" t="str">
            <v>MAY</v>
          </cell>
          <cell r="AR26" t="str">
            <v>JUN</v>
          </cell>
          <cell r="AS26" t="str">
            <v>JUL</v>
          </cell>
          <cell r="AT26" t="str">
            <v>AUG</v>
          </cell>
          <cell r="AU26" t="str">
            <v>SEP</v>
          </cell>
          <cell r="AV26" t="str">
            <v>OCT</v>
          </cell>
          <cell r="AW26" t="str">
            <v>NOV</v>
          </cell>
          <cell r="AX26" t="str">
            <v>DEC</v>
          </cell>
          <cell r="AY26" t="str">
            <v xml:space="preserve"> YEAR</v>
          </cell>
          <cell r="AZ26" t="str">
            <v>Budget</v>
          </cell>
          <cell r="BA26" t="str">
            <v>VAR</v>
          </cell>
          <cell r="BB26" t="str">
            <v>% VAR</v>
          </cell>
          <cell r="BE26" t="str">
            <v>JAN</v>
          </cell>
          <cell r="BF26" t="str">
            <v>FEB</v>
          </cell>
          <cell r="BG26" t="str">
            <v>MAR</v>
          </cell>
          <cell r="BH26" t="str">
            <v>APR</v>
          </cell>
          <cell r="BI26" t="str">
            <v>MAY</v>
          </cell>
          <cell r="BJ26" t="str">
            <v>JUN</v>
          </cell>
          <cell r="BK26" t="str">
            <v>JUL</v>
          </cell>
          <cell r="BL26" t="str">
            <v>AUG</v>
          </cell>
          <cell r="BM26" t="str">
            <v>SEP</v>
          </cell>
          <cell r="BN26" t="str">
            <v>OCT</v>
          </cell>
          <cell r="BO26" t="str">
            <v>NOV</v>
          </cell>
          <cell r="BP26" t="str">
            <v>DEC</v>
          </cell>
          <cell r="BQ26" t="str">
            <v xml:space="preserve"> YEAR</v>
          </cell>
          <cell r="DK26" t="str">
            <v xml:space="preserve"> </v>
          </cell>
          <cell r="DL26" t="str">
            <v xml:space="preserve"> </v>
          </cell>
          <cell r="DM26" t="str">
            <v xml:space="preserve"> </v>
          </cell>
          <cell r="DN26" t="str">
            <v xml:space="preserve"> </v>
          </cell>
          <cell r="DO26" t="str">
            <v xml:space="preserve"> </v>
          </cell>
          <cell r="DP26" t="str">
            <v xml:space="preserve"> </v>
          </cell>
          <cell r="DQ26" t="str">
            <v xml:space="preserve"> </v>
          </cell>
          <cell r="DR26" t="str">
            <v xml:space="preserve"> </v>
          </cell>
          <cell r="DS26" t="str">
            <v xml:space="preserve"> </v>
          </cell>
          <cell r="DT26" t="str">
            <v xml:space="preserve"> </v>
          </cell>
          <cell r="DU26" t="str">
            <v xml:space="preserve"> </v>
          </cell>
          <cell r="DV26" t="str">
            <v xml:space="preserve"> </v>
          </cell>
        </row>
        <row r="27">
          <cell r="A27" t="str">
            <v>PORT REX</v>
          </cell>
          <cell r="B27">
            <v>0</v>
          </cell>
          <cell r="C27">
            <v>0</v>
          </cell>
          <cell r="D27">
            <v>0.03</v>
          </cell>
          <cell r="E27">
            <v>0</v>
          </cell>
          <cell r="F27">
            <v>0</v>
          </cell>
          <cell r="G27">
            <v>0</v>
          </cell>
          <cell r="H27">
            <v>0</v>
          </cell>
          <cell r="I27">
            <v>0</v>
          </cell>
          <cell r="J27">
            <v>0</v>
          </cell>
          <cell r="K27">
            <v>0</v>
          </cell>
          <cell r="L27">
            <v>0</v>
          </cell>
          <cell r="M27">
            <v>0</v>
          </cell>
          <cell r="N27">
            <v>0.03</v>
          </cell>
          <cell r="O27">
            <v>0.03</v>
          </cell>
          <cell r="P27">
            <v>0</v>
          </cell>
          <cell r="AL27" t="str">
            <v>STATIONS</v>
          </cell>
          <cell r="AM27" t="str">
            <v>ACT</v>
          </cell>
          <cell r="AN27" t="str">
            <v>PLAN</v>
          </cell>
          <cell r="AO27" t="str">
            <v>PLAN</v>
          </cell>
          <cell r="AP27" t="str">
            <v>PLAN</v>
          </cell>
          <cell r="AQ27" t="str">
            <v>PLAN</v>
          </cell>
          <cell r="AR27" t="str">
            <v>PLAN</v>
          </cell>
          <cell r="AS27" t="str">
            <v>PLAN</v>
          </cell>
          <cell r="AT27" t="str">
            <v>PLAN</v>
          </cell>
          <cell r="AU27" t="str">
            <v>PLAN</v>
          </cell>
          <cell r="AV27" t="str">
            <v>PLAN</v>
          </cell>
          <cell r="AW27" t="str">
            <v>PLAN</v>
          </cell>
          <cell r="AX27" t="str">
            <v>PLAN</v>
          </cell>
          <cell r="AY27" t="str">
            <v>TOTAL</v>
          </cell>
          <cell r="AZ27" t="str">
            <v>(98 Rev 1)</v>
          </cell>
          <cell r="BD27" t="str">
            <v>STATIONS</v>
          </cell>
          <cell r="BE27" t="str">
            <v>ACT</v>
          </cell>
          <cell r="BF27" t="str">
            <v>PLAN</v>
          </cell>
          <cell r="BG27" t="str">
            <v>PLAN</v>
          </cell>
          <cell r="BH27" t="str">
            <v>PLAN</v>
          </cell>
          <cell r="BI27" t="str">
            <v>PLAN</v>
          </cell>
          <cell r="BJ27" t="str">
            <v>PLAN</v>
          </cell>
          <cell r="BK27" t="str">
            <v>PLAN</v>
          </cell>
          <cell r="BL27" t="str">
            <v>PLAN</v>
          </cell>
          <cell r="BM27" t="str">
            <v>PLAN</v>
          </cell>
          <cell r="BN27" t="str">
            <v>PLAN</v>
          </cell>
          <cell r="BO27" t="str">
            <v>PLAN</v>
          </cell>
          <cell r="BP27" t="str">
            <v>PLAN</v>
          </cell>
          <cell r="BQ27" t="str">
            <v>TOTAL</v>
          </cell>
          <cell r="CV27" t="str">
            <v>GARIEP</v>
          </cell>
          <cell r="CW27">
            <v>360</v>
          </cell>
          <cell r="CX27">
            <v>360</v>
          </cell>
          <cell r="CY27">
            <v>360</v>
          </cell>
          <cell r="CZ27">
            <v>360</v>
          </cell>
          <cell r="DA27">
            <v>360</v>
          </cell>
          <cell r="DB27">
            <v>360</v>
          </cell>
          <cell r="DC27">
            <v>360</v>
          </cell>
          <cell r="DD27">
            <v>360</v>
          </cell>
          <cell r="DE27">
            <v>360</v>
          </cell>
          <cell r="DF27">
            <v>360</v>
          </cell>
          <cell r="DG27">
            <v>360</v>
          </cell>
          <cell r="DH27">
            <v>360</v>
          </cell>
          <cell r="DJ27" t="str">
            <v>GARIEP</v>
          </cell>
          <cell r="DK27">
            <v>0.98013548387096772</v>
          </cell>
          <cell r="DL27">
            <v>0.98553571428571429</v>
          </cell>
          <cell r="DM27">
            <v>0.98786774193548388</v>
          </cell>
          <cell r="DN27">
            <v>0.95086666666666664</v>
          </cell>
          <cell r="DO27">
            <v>0.97496774193548386</v>
          </cell>
          <cell r="DP27">
            <v>0.96630000000000005</v>
          </cell>
          <cell r="DQ27">
            <v>0.97260000000000002</v>
          </cell>
          <cell r="DR27">
            <v>0.97496774193548386</v>
          </cell>
          <cell r="DS27">
            <v>0.98033333333333328</v>
          </cell>
          <cell r="DT27">
            <v>0.88122903225806448</v>
          </cell>
          <cell r="DU27">
            <v>0.93166666666666664</v>
          </cell>
          <cell r="DV27">
            <v>0.99009999999999998</v>
          </cell>
          <cell r="DW27">
            <v>0.96654931506849318</v>
          </cell>
          <cell r="DY27" t="str">
            <v>GARIEP</v>
          </cell>
          <cell r="DZ27">
            <v>9.045042781738169E-2</v>
          </cell>
          <cell r="EA27">
            <v>8.3885298598108879E-2</v>
          </cell>
          <cell r="EB27">
            <v>9.0706205864627867E-2</v>
          </cell>
          <cell r="EC27">
            <v>9.7377051734480038E-2</v>
          </cell>
          <cell r="ED27">
            <v>8.0418063643315107E-2</v>
          </cell>
          <cell r="EE27">
            <v>8.7836637907354395E-2</v>
          </cell>
          <cell r="EF27">
            <v>9.9807607784231783E-2</v>
          </cell>
          <cell r="EG27">
            <v>0.11871237966394134</v>
          </cell>
          <cell r="EH27">
            <v>0.1456105884871611</v>
          </cell>
          <cell r="EI27">
            <v>0.14405047148905617</v>
          </cell>
          <cell r="EJ27">
            <v>0.11594779036639502</v>
          </cell>
          <cell r="EK27">
            <v>9.4272605846868474E-2</v>
          </cell>
          <cell r="EL27">
            <v>0.1040895941002435</v>
          </cell>
        </row>
        <row r="28">
          <cell r="A28" t="str">
            <v>TURBINES</v>
          </cell>
          <cell r="B28">
            <v>0</v>
          </cell>
          <cell r="C28">
            <v>0</v>
          </cell>
          <cell r="D28">
            <v>0.03</v>
          </cell>
          <cell r="E28">
            <v>0</v>
          </cell>
          <cell r="F28">
            <v>0</v>
          </cell>
          <cell r="G28">
            <v>2.3E-2</v>
          </cell>
          <cell r="H28">
            <v>3.0000000000000001E-3</v>
          </cell>
          <cell r="I28">
            <v>0</v>
          </cell>
          <cell r="J28">
            <v>0</v>
          </cell>
          <cell r="K28">
            <v>0</v>
          </cell>
          <cell r="L28">
            <v>0</v>
          </cell>
          <cell r="M28">
            <v>0</v>
          </cell>
          <cell r="N28">
            <v>5.5999999999999994E-2</v>
          </cell>
          <cell r="O28">
            <v>5.5999999999999994E-2</v>
          </cell>
          <cell r="P28">
            <v>0</v>
          </cell>
          <cell r="AL28" t="str">
            <v>ARNOT</v>
          </cell>
          <cell r="AM28">
            <v>416.79899999999998</v>
          </cell>
          <cell r="AN28">
            <v>360</v>
          </cell>
          <cell r="AO28">
            <v>377</v>
          </cell>
          <cell r="AP28">
            <v>243</v>
          </cell>
          <cell r="AQ28">
            <v>352</v>
          </cell>
          <cell r="AR28">
            <v>352</v>
          </cell>
          <cell r="AS28">
            <v>375</v>
          </cell>
          <cell r="AT28">
            <v>352</v>
          </cell>
          <cell r="AU28">
            <v>352</v>
          </cell>
          <cell r="AV28">
            <v>316</v>
          </cell>
          <cell r="AW28">
            <v>362</v>
          </cell>
          <cell r="AX28">
            <v>257.20100000000002</v>
          </cell>
          <cell r="AY28">
            <v>4115</v>
          </cell>
          <cell r="AZ28">
            <v>3921</v>
          </cell>
          <cell r="BA28">
            <v>194</v>
          </cell>
          <cell r="BB28">
            <v>4.9477174190257586E-2</v>
          </cell>
          <cell r="BD28" t="str">
            <v>ARNOT</v>
          </cell>
          <cell r="BE28">
            <v>0</v>
          </cell>
          <cell r="BF28">
            <v>0</v>
          </cell>
          <cell r="BG28">
            <v>0</v>
          </cell>
          <cell r="BH28">
            <v>0</v>
          </cell>
          <cell r="BI28">
            <v>0</v>
          </cell>
          <cell r="BJ28">
            <v>0</v>
          </cell>
          <cell r="BK28">
            <v>0</v>
          </cell>
          <cell r="BL28">
            <v>0</v>
          </cell>
          <cell r="BM28">
            <v>0</v>
          </cell>
          <cell r="BN28">
            <v>0</v>
          </cell>
          <cell r="BO28">
            <v>0</v>
          </cell>
          <cell r="BP28">
            <v>0</v>
          </cell>
          <cell r="BQ28">
            <v>0</v>
          </cell>
          <cell r="CV28" t="str">
            <v>VAN DER KLOOF</v>
          </cell>
          <cell r="CW28">
            <v>240</v>
          </cell>
          <cell r="CX28">
            <v>240</v>
          </cell>
          <cell r="CY28">
            <v>240</v>
          </cell>
          <cell r="CZ28">
            <v>240</v>
          </cell>
          <cell r="DA28">
            <v>240</v>
          </cell>
          <cell r="DB28">
            <v>240</v>
          </cell>
          <cell r="DC28">
            <v>240</v>
          </cell>
          <cell r="DD28">
            <v>240</v>
          </cell>
          <cell r="DE28">
            <v>240</v>
          </cell>
          <cell r="DF28">
            <v>240</v>
          </cell>
          <cell r="DG28">
            <v>240</v>
          </cell>
          <cell r="DH28">
            <v>240</v>
          </cell>
          <cell r="DJ28" t="str">
            <v>VAN DER KLOOF</v>
          </cell>
          <cell r="DK28">
            <v>0.99399999999999999</v>
          </cell>
          <cell r="DL28">
            <v>0.99580000000000002</v>
          </cell>
          <cell r="DM28">
            <v>0.98993548387096775</v>
          </cell>
          <cell r="DN28">
            <v>0.95316666666666672</v>
          </cell>
          <cell r="DO28">
            <v>0.97603548387096772</v>
          </cell>
          <cell r="DP28">
            <v>0.97506666666666664</v>
          </cell>
          <cell r="DQ28">
            <v>0.55448494623652</v>
          </cell>
          <cell r="DR28">
            <v>0.7293956989247703</v>
          </cell>
          <cell r="DS28">
            <v>0.98136666666666672</v>
          </cell>
          <cell r="DT28">
            <v>0.98793548387096775</v>
          </cell>
          <cell r="DU28">
            <v>0.99590000000000001</v>
          </cell>
          <cell r="DV28">
            <v>0.98793548387096775</v>
          </cell>
          <cell r="DW28">
            <v>0.92777123287671237</v>
          </cell>
          <cell r="DY28" t="str">
            <v>VAN DER KLOOF</v>
          </cell>
          <cell r="DZ28">
            <v>0.25297393681082914</v>
          </cell>
          <cell r="EA28">
            <v>0.22415573982153614</v>
          </cell>
          <cell r="EB28">
            <v>0.18103348395319199</v>
          </cell>
          <cell r="EC28">
            <v>0.16392726001049135</v>
          </cell>
          <cell r="ED28">
            <v>0.12623299802176824</v>
          </cell>
          <cell r="EE28">
            <v>0.11870033577950986</v>
          </cell>
          <cell r="EF28">
            <v>0.22220239907487802</v>
          </cell>
          <cell r="EG28">
            <v>0.1842739165430704</v>
          </cell>
          <cell r="EH28">
            <v>0.18280440353399832</v>
          </cell>
          <cell r="EI28">
            <v>0.25509371122575586</v>
          </cell>
          <cell r="EJ28">
            <v>0.24986704748729047</v>
          </cell>
          <cell r="EK28">
            <v>0.20974371811895484</v>
          </cell>
          <cell r="EL28">
            <v>0.19758407919843957</v>
          </cell>
        </row>
        <row r="29">
          <cell r="AL29" t="str">
            <v>KRIEL</v>
          </cell>
          <cell r="AM29">
            <v>899.78599999999994</v>
          </cell>
          <cell r="AN29">
            <v>670</v>
          </cell>
          <cell r="AO29">
            <v>670</v>
          </cell>
          <cell r="AP29">
            <v>622</v>
          </cell>
          <cell r="AQ29">
            <v>650</v>
          </cell>
          <cell r="AR29">
            <v>738</v>
          </cell>
          <cell r="AS29">
            <v>730</v>
          </cell>
          <cell r="AT29">
            <v>728</v>
          </cell>
          <cell r="AU29">
            <v>728</v>
          </cell>
          <cell r="AV29">
            <v>751</v>
          </cell>
          <cell r="AW29">
            <v>696</v>
          </cell>
          <cell r="AX29">
            <v>624</v>
          </cell>
          <cell r="AY29">
            <v>8506.7860000000001</v>
          </cell>
          <cell r="AZ29">
            <v>8460</v>
          </cell>
          <cell r="BA29">
            <v>46.786000000000058</v>
          </cell>
          <cell r="BB29">
            <v>5.5302600472813311E-3</v>
          </cell>
          <cell r="BD29" t="str">
            <v>KRIEL</v>
          </cell>
          <cell r="BE29">
            <v>0</v>
          </cell>
          <cell r="BF29">
            <v>0</v>
          </cell>
          <cell r="BG29">
            <v>0</v>
          </cell>
          <cell r="BH29">
            <v>0</v>
          </cell>
          <cell r="BI29">
            <v>0</v>
          </cell>
          <cell r="BJ29">
            <v>0</v>
          </cell>
          <cell r="BK29">
            <v>0</v>
          </cell>
          <cell r="BL29">
            <v>0</v>
          </cell>
          <cell r="BM29">
            <v>0</v>
          </cell>
          <cell r="BN29">
            <v>0</v>
          </cell>
          <cell r="BO29">
            <v>0</v>
          </cell>
          <cell r="BP29">
            <v>0</v>
          </cell>
          <cell r="BQ29">
            <v>0</v>
          </cell>
          <cell r="CV29" t="str">
            <v>HYDRO</v>
          </cell>
          <cell r="CW29">
            <v>600</v>
          </cell>
          <cell r="CX29">
            <v>600</v>
          </cell>
          <cell r="CY29">
            <v>600</v>
          </cell>
          <cell r="CZ29">
            <v>600</v>
          </cell>
          <cell r="DA29">
            <v>600</v>
          </cell>
          <cell r="DB29">
            <v>600</v>
          </cell>
          <cell r="DC29">
            <v>600</v>
          </cell>
          <cell r="DD29">
            <v>600</v>
          </cell>
          <cell r="DE29">
            <v>600</v>
          </cell>
          <cell r="DF29">
            <v>600</v>
          </cell>
          <cell r="DG29">
            <v>600</v>
          </cell>
          <cell r="DH29">
            <v>600</v>
          </cell>
          <cell r="DJ29" t="str">
            <v>HYDRO</v>
          </cell>
          <cell r="DK29" t="str">
            <v xml:space="preserve"> </v>
          </cell>
          <cell r="DL29" t="str">
            <v xml:space="preserve"> </v>
          </cell>
          <cell r="DM29" t="str">
            <v xml:space="preserve"> </v>
          </cell>
          <cell r="DN29" t="str">
            <v xml:space="preserve"> </v>
          </cell>
          <cell r="DO29" t="str">
            <v xml:space="preserve"> </v>
          </cell>
          <cell r="DP29" t="str">
            <v xml:space="preserve"> </v>
          </cell>
          <cell r="DQ29" t="str">
            <v xml:space="preserve"> </v>
          </cell>
          <cell r="DR29" t="str">
            <v xml:space="preserve"> </v>
          </cell>
          <cell r="DS29" t="str">
            <v xml:space="preserve"> </v>
          </cell>
          <cell r="DT29" t="str">
            <v xml:space="preserve"> </v>
          </cell>
          <cell r="DU29" t="str">
            <v xml:space="preserve"> </v>
          </cell>
          <cell r="DV29" t="str">
            <v xml:space="preserve"> </v>
          </cell>
          <cell r="DY29" t="str">
            <v>HYDRO</v>
          </cell>
        </row>
        <row r="30">
          <cell r="A30" t="str">
            <v>GARIEP</v>
          </cell>
          <cell r="B30">
            <v>23.745000000000001</v>
          </cell>
          <cell r="C30">
            <v>20</v>
          </cell>
          <cell r="D30">
            <v>24</v>
          </cell>
          <cell r="E30">
            <v>24</v>
          </cell>
          <cell r="F30">
            <v>21</v>
          </cell>
          <cell r="G30">
            <v>22</v>
          </cell>
          <cell r="H30">
            <v>26</v>
          </cell>
          <cell r="I30">
            <v>31</v>
          </cell>
          <cell r="J30">
            <v>37</v>
          </cell>
          <cell r="K30">
            <v>34</v>
          </cell>
          <cell r="L30">
            <v>28</v>
          </cell>
          <cell r="M30">
            <v>25</v>
          </cell>
          <cell r="N30">
            <v>315.745</v>
          </cell>
          <cell r="O30">
            <v>315.745</v>
          </cell>
          <cell r="P30">
            <v>0</v>
          </cell>
          <cell r="Q30">
            <v>0</v>
          </cell>
          <cell r="AL30" t="str">
            <v>LETHABO</v>
          </cell>
          <cell r="AM30">
            <v>1128.4850000000001</v>
          </cell>
          <cell r="AN30">
            <v>1061.6669999999999</v>
          </cell>
          <cell r="AO30">
            <v>1027.953</v>
          </cell>
          <cell r="AP30">
            <v>1096.5</v>
          </cell>
          <cell r="AQ30">
            <v>1219</v>
          </cell>
          <cell r="AR30">
            <v>1178.25</v>
          </cell>
          <cell r="AS30">
            <v>1259</v>
          </cell>
          <cell r="AT30">
            <v>1219</v>
          </cell>
          <cell r="AU30">
            <v>1177</v>
          </cell>
          <cell r="AV30">
            <v>1259</v>
          </cell>
          <cell r="AW30">
            <v>1219.25</v>
          </cell>
          <cell r="AX30">
            <v>1137</v>
          </cell>
          <cell r="AY30">
            <v>13982.105</v>
          </cell>
          <cell r="AZ30">
            <v>13941</v>
          </cell>
          <cell r="BA30">
            <v>41.104999999999563</v>
          </cell>
          <cell r="BB30">
            <v>2.9484972383616356E-3</v>
          </cell>
          <cell r="BD30" t="str">
            <v>LETHABO</v>
          </cell>
          <cell r="BE30">
            <v>0</v>
          </cell>
          <cell r="BF30">
            <v>0</v>
          </cell>
          <cell r="BG30">
            <v>0</v>
          </cell>
          <cell r="BH30">
            <v>0</v>
          </cell>
          <cell r="BI30">
            <v>0</v>
          </cell>
          <cell r="BJ30">
            <v>0</v>
          </cell>
          <cell r="BK30">
            <v>0</v>
          </cell>
          <cell r="BL30">
            <v>0</v>
          </cell>
          <cell r="BM30">
            <v>0</v>
          </cell>
          <cell r="BN30">
            <v>0</v>
          </cell>
          <cell r="BO30">
            <v>0</v>
          </cell>
          <cell r="BP30">
            <v>0</v>
          </cell>
          <cell r="BQ30">
            <v>0</v>
          </cell>
          <cell r="DK30" t="str">
            <v xml:space="preserve"> </v>
          </cell>
          <cell r="DL30" t="str">
            <v xml:space="preserve"> </v>
          </cell>
          <cell r="DM30" t="str">
            <v xml:space="preserve"> </v>
          </cell>
          <cell r="DN30" t="str">
            <v xml:space="preserve"> </v>
          </cell>
          <cell r="DO30" t="str">
            <v xml:space="preserve"> </v>
          </cell>
          <cell r="DP30" t="str">
            <v xml:space="preserve"> </v>
          </cell>
          <cell r="DQ30" t="str">
            <v xml:space="preserve"> </v>
          </cell>
          <cell r="DR30" t="str">
            <v xml:space="preserve"> </v>
          </cell>
          <cell r="DS30" t="str">
            <v xml:space="preserve"> </v>
          </cell>
          <cell r="DT30" t="str">
            <v xml:space="preserve"> </v>
          </cell>
          <cell r="DU30" t="str">
            <v xml:space="preserve"> </v>
          </cell>
          <cell r="DV30" t="str">
            <v xml:space="preserve"> </v>
          </cell>
        </row>
        <row r="31">
          <cell r="A31" t="str">
            <v>VAN DER KLOOF</v>
          </cell>
          <cell r="B31">
            <v>44.9</v>
          </cell>
          <cell r="C31">
            <v>36</v>
          </cell>
          <cell r="D31">
            <v>32</v>
          </cell>
          <cell r="E31">
            <v>27</v>
          </cell>
          <cell r="F31">
            <v>22</v>
          </cell>
          <cell r="G31">
            <v>20</v>
          </cell>
          <cell r="H31">
            <v>22</v>
          </cell>
          <cell r="I31">
            <v>24</v>
          </cell>
          <cell r="J31">
            <v>31</v>
          </cell>
          <cell r="K31">
            <v>45</v>
          </cell>
          <cell r="L31">
            <v>43</v>
          </cell>
          <cell r="M31">
            <v>37</v>
          </cell>
          <cell r="N31">
            <v>383.9</v>
          </cell>
          <cell r="O31">
            <v>383.9</v>
          </cell>
          <cell r="P31">
            <v>0</v>
          </cell>
          <cell r="Q31">
            <v>0</v>
          </cell>
          <cell r="AL31" t="str">
            <v>TUTUKA</v>
          </cell>
          <cell r="AM31">
            <v>602.06100000000004</v>
          </cell>
          <cell r="AN31">
            <v>665</v>
          </cell>
          <cell r="AO31">
            <v>762</v>
          </cell>
          <cell r="AP31">
            <v>675</v>
          </cell>
          <cell r="AQ31">
            <v>831</v>
          </cell>
          <cell r="AR31">
            <v>650</v>
          </cell>
          <cell r="AS31">
            <v>820</v>
          </cell>
          <cell r="AT31">
            <v>609</v>
          </cell>
          <cell r="AU31">
            <v>791</v>
          </cell>
          <cell r="AV31">
            <v>833</v>
          </cell>
          <cell r="AW31">
            <v>781</v>
          </cell>
          <cell r="AX31">
            <v>980.93899999999996</v>
          </cell>
          <cell r="AY31">
            <v>9000</v>
          </cell>
          <cell r="AZ31">
            <v>8750</v>
          </cell>
          <cell r="BA31">
            <v>250</v>
          </cell>
          <cell r="BB31">
            <v>2.8571428571428571E-2</v>
          </cell>
          <cell r="BD31" t="str">
            <v>TUTUKA</v>
          </cell>
          <cell r="BE31">
            <v>0</v>
          </cell>
          <cell r="BF31">
            <v>0</v>
          </cell>
          <cell r="BG31">
            <v>0</v>
          </cell>
          <cell r="BH31">
            <v>0</v>
          </cell>
          <cell r="BI31">
            <v>0</v>
          </cell>
          <cell r="BJ31">
            <v>0</v>
          </cell>
          <cell r="BK31">
            <v>0</v>
          </cell>
          <cell r="BL31">
            <v>0</v>
          </cell>
          <cell r="BM31">
            <v>0</v>
          </cell>
          <cell r="BN31">
            <v>0</v>
          </cell>
          <cell r="BO31">
            <v>0</v>
          </cell>
          <cell r="BP31">
            <v>0</v>
          </cell>
          <cell r="BQ31">
            <v>0</v>
          </cell>
          <cell r="CV31" t="str">
            <v>DRAKENSBERG</v>
          </cell>
          <cell r="CW31">
            <v>1000</v>
          </cell>
          <cell r="CX31">
            <v>1000</v>
          </cell>
          <cell r="CY31">
            <v>1000</v>
          </cell>
          <cell r="CZ31">
            <v>1000</v>
          </cell>
          <cell r="DA31">
            <v>1000</v>
          </cell>
          <cell r="DB31">
            <v>1000</v>
          </cell>
          <cell r="DC31">
            <v>1000</v>
          </cell>
          <cell r="DD31">
            <v>1000</v>
          </cell>
          <cell r="DE31">
            <v>1000</v>
          </cell>
          <cell r="DF31">
            <v>1000</v>
          </cell>
          <cell r="DG31">
            <v>1000</v>
          </cell>
          <cell r="DH31">
            <v>1000</v>
          </cell>
          <cell r="DJ31" t="str">
            <v>DRAKENSBERG</v>
          </cell>
          <cell r="DK31">
            <v>0.96453978494625614</v>
          </cell>
          <cell r="DL31">
            <v>0.81088571428571421</v>
          </cell>
          <cell r="DM31">
            <v>0.97313978494625608</v>
          </cell>
          <cell r="DN31">
            <v>0.94642777777779796</v>
          </cell>
          <cell r="DO31">
            <v>0.95967956989251224</v>
          </cell>
          <cell r="DP31">
            <v>0.94089999999999996</v>
          </cell>
          <cell r="DQ31">
            <v>0.95803978494625608</v>
          </cell>
          <cell r="DR31">
            <v>0.89684354838715552</v>
          </cell>
          <cell r="DS31">
            <v>0.70840000000000003</v>
          </cell>
          <cell r="DT31">
            <v>0.8656811827956794</v>
          </cell>
          <cell r="DU31">
            <v>0.94699999999999995</v>
          </cell>
          <cell r="DV31">
            <v>0.96547956989251227</v>
          </cell>
          <cell r="DW31">
            <v>0.90987625570777919</v>
          </cell>
          <cell r="DY31" t="str">
            <v>DRAKENSBERG</v>
          </cell>
          <cell r="DZ31">
            <v>0.22017993984539511</v>
          </cell>
          <cell r="EA31">
            <v>0.22021775131249782</v>
          </cell>
          <cell r="EB31">
            <v>0.16574219354268083</v>
          </cell>
          <cell r="EC31">
            <v>0.17610077660442106</v>
          </cell>
          <cell r="ED31">
            <v>0.16806685027035667</v>
          </cell>
          <cell r="EE31">
            <v>0.17713536684734474</v>
          </cell>
          <cell r="EF31">
            <v>0.16835451420182218</v>
          </cell>
          <cell r="EG31">
            <v>0.17984220644805071</v>
          </cell>
          <cell r="EH31">
            <v>0.23527197440240918</v>
          </cell>
          <cell r="EI31">
            <v>0.18631607777330347</v>
          </cell>
          <cell r="EJ31">
            <v>0.17599436818021821</v>
          </cell>
          <cell r="EK31">
            <v>0.16705720929817475</v>
          </cell>
          <cell r="EL31">
            <v>0.18668993572722289</v>
          </cell>
        </row>
        <row r="32">
          <cell r="A32" t="str">
            <v>HYDRO *</v>
          </cell>
          <cell r="B32">
            <v>68.644999999999996</v>
          </cell>
          <cell r="C32">
            <v>56</v>
          </cell>
          <cell r="D32">
            <v>56</v>
          </cell>
          <cell r="E32">
            <v>51</v>
          </cell>
          <cell r="F32">
            <v>43</v>
          </cell>
          <cell r="G32">
            <v>42</v>
          </cell>
          <cell r="H32">
            <v>48</v>
          </cell>
          <cell r="I32">
            <v>55</v>
          </cell>
          <cell r="J32">
            <v>68</v>
          </cell>
          <cell r="K32">
            <v>79</v>
          </cell>
          <cell r="L32">
            <v>71</v>
          </cell>
          <cell r="M32">
            <v>62</v>
          </cell>
          <cell r="N32">
            <v>699.64499999999998</v>
          </cell>
          <cell r="O32">
            <v>699.64499999999998</v>
          </cell>
          <cell r="P32">
            <v>0</v>
          </cell>
          <cell r="Q32">
            <v>0</v>
          </cell>
          <cell r="AL32" t="str">
            <v>HENDRINA</v>
          </cell>
          <cell r="AM32">
            <v>537.65800000000002</v>
          </cell>
          <cell r="AN32">
            <v>552.34199999999998</v>
          </cell>
          <cell r="AO32">
            <v>570</v>
          </cell>
          <cell r="AP32">
            <v>570</v>
          </cell>
          <cell r="AQ32">
            <v>590</v>
          </cell>
          <cell r="AR32">
            <v>590</v>
          </cell>
          <cell r="AS32">
            <v>550</v>
          </cell>
          <cell r="AT32">
            <v>530</v>
          </cell>
          <cell r="AU32">
            <v>500</v>
          </cell>
          <cell r="AV32">
            <v>510</v>
          </cell>
          <cell r="AW32">
            <v>500</v>
          </cell>
          <cell r="AX32">
            <v>500</v>
          </cell>
          <cell r="AY32">
            <v>6500</v>
          </cell>
          <cell r="AZ32">
            <v>6500</v>
          </cell>
          <cell r="BA32">
            <v>0</v>
          </cell>
          <cell r="BB32">
            <v>0</v>
          </cell>
          <cell r="BD32" t="str">
            <v>HENDRINA</v>
          </cell>
          <cell r="BE32">
            <v>0</v>
          </cell>
          <cell r="BF32">
            <v>0</v>
          </cell>
          <cell r="BG32">
            <v>0</v>
          </cell>
          <cell r="BH32">
            <v>0</v>
          </cell>
          <cell r="BI32">
            <v>0</v>
          </cell>
          <cell r="BJ32">
            <v>0</v>
          </cell>
          <cell r="BK32">
            <v>0</v>
          </cell>
          <cell r="BL32">
            <v>0</v>
          </cell>
          <cell r="BM32">
            <v>0</v>
          </cell>
          <cell r="BN32">
            <v>0</v>
          </cell>
          <cell r="BO32">
            <v>0</v>
          </cell>
          <cell r="BP32">
            <v>0</v>
          </cell>
          <cell r="BQ32">
            <v>0</v>
          </cell>
          <cell r="CV32" t="str">
            <v>PALMIET</v>
          </cell>
          <cell r="CW32">
            <v>400</v>
          </cell>
          <cell r="CX32">
            <v>400</v>
          </cell>
          <cell r="CY32">
            <v>400</v>
          </cell>
          <cell r="CZ32">
            <v>400</v>
          </cell>
          <cell r="DA32">
            <v>400</v>
          </cell>
          <cell r="DB32">
            <v>400</v>
          </cell>
          <cell r="DC32">
            <v>400</v>
          </cell>
          <cell r="DD32">
            <v>400</v>
          </cell>
          <cell r="DE32">
            <v>400</v>
          </cell>
          <cell r="DF32">
            <v>400</v>
          </cell>
          <cell r="DG32">
            <v>400</v>
          </cell>
          <cell r="DH32">
            <v>400</v>
          </cell>
          <cell r="DJ32" t="str">
            <v>PALMIET</v>
          </cell>
          <cell r="DK32">
            <v>0.97697096774193548</v>
          </cell>
          <cell r="DL32">
            <v>0.99490000000000001</v>
          </cell>
          <cell r="DM32">
            <v>0.99660000000000004</v>
          </cell>
          <cell r="DN32">
            <v>0.96609999999999996</v>
          </cell>
          <cell r="DO32">
            <v>0.96807096774193546</v>
          </cell>
          <cell r="DP32">
            <v>0.98440000000000005</v>
          </cell>
          <cell r="DQ32">
            <v>0.97799999999999998</v>
          </cell>
          <cell r="DR32">
            <v>0.96807096774193546</v>
          </cell>
          <cell r="DS32">
            <v>0.98970000000000002</v>
          </cell>
          <cell r="DT32">
            <v>0.99480000000000002</v>
          </cell>
          <cell r="DU32">
            <v>0.64073333333333338</v>
          </cell>
          <cell r="DV32">
            <v>0.96657419354838714</v>
          </cell>
          <cell r="DW32">
            <v>0.95418356164383566</v>
          </cell>
          <cell r="DY32" t="str">
            <v>PALMIET</v>
          </cell>
          <cell r="DZ32">
            <v>0.23358487887182569</v>
          </cell>
          <cell r="EA32">
            <v>0.18696542844698438</v>
          </cell>
          <cell r="EB32">
            <v>0.168583938077636</v>
          </cell>
          <cell r="EC32">
            <v>0.17970304431333306</v>
          </cell>
          <cell r="ED32">
            <v>0.1735521033959565</v>
          </cell>
          <cell r="EE32">
            <v>0.17636236398934488</v>
          </cell>
          <cell r="EF32">
            <v>0.17179013567297755</v>
          </cell>
          <cell r="EG32">
            <v>0.1735521033959565</v>
          </cell>
          <cell r="EH32">
            <v>0.17541791564222606</v>
          </cell>
          <cell r="EI32">
            <v>0.16888897536004427</v>
          </cell>
          <cell r="EJ32">
            <v>0.27095688967502513</v>
          </cell>
          <cell r="EK32">
            <v>0.17382085494274205</v>
          </cell>
          <cell r="EL32">
            <v>0.18776488598200433</v>
          </cell>
        </row>
        <row r="33">
          <cell r="AL33" t="str">
            <v>MATLA</v>
          </cell>
          <cell r="AM33">
            <v>1098.2639250000002</v>
          </cell>
          <cell r="AN33">
            <v>1083.467075</v>
          </cell>
          <cell r="AO33">
            <v>1165.76</v>
          </cell>
          <cell r="AP33">
            <v>1101.56</v>
          </cell>
          <cell r="AQ33">
            <v>1118.06</v>
          </cell>
          <cell r="AR33">
            <v>1141.06</v>
          </cell>
          <cell r="AS33">
            <v>1170.06</v>
          </cell>
          <cell r="AT33">
            <v>840.06</v>
          </cell>
          <cell r="AU33">
            <v>928.56</v>
          </cell>
          <cell r="AV33">
            <v>1097.3599999999999</v>
          </cell>
          <cell r="AW33">
            <v>1113.1489999999999</v>
          </cell>
          <cell r="AX33">
            <v>1035.96</v>
          </cell>
          <cell r="AY33">
            <v>12893.319999999996</v>
          </cell>
          <cell r="AZ33">
            <v>13784.501</v>
          </cell>
          <cell r="BA33">
            <v>-891.18100000000413</v>
          </cell>
          <cell r="BB33">
            <v>-6.4650943839026462E-2</v>
          </cell>
          <cell r="BD33" t="str">
            <v>MATLA</v>
          </cell>
          <cell r="BE33">
            <v>-7.7924999999999994E-2</v>
          </cell>
          <cell r="BF33">
            <v>-4.2075000000000001E-2</v>
          </cell>
          <cell r="BG33">
            <v>-0.06</v>
          </cell>
          <cell r="BH33">
            <v>-0.06</v>
          </cell>
          <cell r="BI33">
            <v>-0.06</v>
          </cell>
          <cell r="BJ33">
            <v>-0.06</v>
          </cell>
          <cell r="BK33">
            <v>-0.06</v>
          </cell>
          <cell r="BL33">
            <v>-0.06</v>
          </cell>
          <cell r="BM33">
            <v>-0.06</v>
          </cell>
          <cell r="BN33">
            <v>-0.06</v>
          </cell>
          <cell r="BO33">
            <v>-0.06</v>
          </cell>
          <cell r="BP33">
            <v>-0.06</v>
          </cell>
          <cell r="BQ33">
            <v>-0.7200000000000002</v>
          </cell>
          <cell r="CV33" t="str">
            <v>PUMP STORAGE</v>
          </cell>
          <cell r="CW33">
            <v>1400</v>
          </cell>
          <cell r="CX33">
            <v>1400</v>
          </cell>
          <cell r="CY33">
            <v>1400</v>
          </cell>
          <cell r="CZ33">
            <v>1400</v>
          </cell>
          <cell r="DA33">
            <v>1400</v>
          </cell>
          <cell r="DB33">
            <v>1400</v>
          </cell>
          <cell r="DC33">
            <v>1400</v>
          </cell>
          <cell r="DD33">
            <v>1400</v>
          </cell>
          <cell r="DE33">
            <v>1400</v>
          </cell>
          <cell r="DF33">
            <v>1400</v>
          </cell>
          <cell r="DG33">
            <v>1400</v>
          </cell>
          <cell r="DH33">
            <v>1400</v>
          </cell>
        </row>
        <row r="34">
          <cell r="A34" t="str">
            <v>DRAKENSBERG</v>
          </cell>
          <cell r="B34">
            <v>158.005</v>
          </cell>
          <cell r="C34">
            <v>120</v>
          </cell>
          <cell r="D34">
            <v>120</v>
          </cell>
          <cell r="E34">
            <v>120</v>
          </cell>
          <cell r="F34">
            <v>120</v>
          </cell>
          <cell r="G34">
            <v>120</v>
          </cell>
          <cell r="H34">
            <v>120</v>
          </cell>
          <cell r="I34">
            <v>120</v>
          </cell>
          <cell r="J34">
            <v>120</v>
          </cell>
          <cell r="K34">
            <v>120</v>
          </cell>
          <cell r="L34">
            <v>120</v>
          </cell>
          <cell r="M34">
            <v>120</v>
          </cell>
          <cell r="N34">
            <v>1478.0050000000001</v>
          </cell>
          <cell r="O34">
            <v>1478.0050000000001</v>
          </cell>
          <cell r="P34">
            <v>0</v>
          </cell>
          <cell r="Q34">
            <v>0</v>
          </cell>
          <cell r="AL34" t="str">
            <v>DUVHA</v>
          </cell>
          <cell r="AM34">
            <v>853.37599999999998</v>
          </cell>
          <cell r="AN34">
            <v>749</v>
          </cell>
          <cell r="AO34">
            <v>775.62400000000002</v>
          </cell>
          <cell r="AP34">
            <v>843</v>
          </cell>
          <cell r="AQ34">
            <v>947</v>
          </cell>
          <cell r="AR34">
            <v>924</v>
          </cell>
          <cell r="AS34">
            <v>896</v>
          </cell>
          <cell r="AT34">
            <v>812</v>
          </cell>
          <cell r="AU34">
            <v>834</v>
          </cell>
          <cell r="AV34">
            <v>801</v>
          </cell>
          <cell r="AW34">
            <v>730</v>
          </cell>
          <cell r="AX34">
            <v>800</v>
          </cell>
          <cell r="AY34">
            <v>9965</v>
          </cell>
          <cell r="AZ34">
            <v>9965</v>
          </cell>
          <cell r="BA34">
            <v>0</v>
          </cell>
          <cell r="BB34">
            <v>0</v>
          </cell>
          <cell r="BD34" t="str">
            <v>DUVHA</v>
          </cell>
          <cell r="BE34">
            <v>0</v>
          </cell>
          <cell r="BF34">
            <v>0</v>
          </cell>
          <cell r="BG34">
            <v>0</v>
          </cell>
          <cell r="BH34">
            <v>0</v>
          </cell>
          <cell r="BI34">
            <v>0</v>
          </cell>
          <cell r="BJ34">
            <v>0</v>
          </cell>
          <cell r="BK34">
            <v>0</v>
          </cell>
          <cell r="BL34">
            <v>0</v>
          </cell>
          <cell r="BM34">
            <v>0</v>
          </cell>
          <cell r="BN34">
            <v>0</v>
          </cell>
          <cell r="BO34">
            <v>0</v>
          </cell>
          <cell r="BP34">
            <v>0</v>
          </cell>
          <cell r="BQ34">
            <v>0</v>
          </cell>
          <cell r="DJ34" t="str">
            <v>SYSTEM</v>
          </cell>
          <cell r="DK34">
            <v>0.85792014381147153</v>
          </cell>
          <cell r="DL34">
            <v>0.85367998188169514</v>
          </cell>
          <cell r="DM34">
            <v>0.88519830401079935</v>
          </cell>
          <cell r="DN34">
            <v>0.88328527609855623</v>
          </cell>
          <cell r="DO34">
            <v>0.90073905447111413</v>
          </cell>
          <cell r="DP34">
            <v>0.94690910169386389</v>
          </cell>
          <cell r="DQ34">
            <v>0.93444453542948569</v>
          </cell>
          <cell r="DR34">
            <v>0.92353753324859089</v>
          </cell>
          <cell r="DS34">
            <v>0.89015246758412636</v>
          </cell>
          <cell r="DT34">
            <v>0.88796400998056657</v>
          </cell>
          <cell r="DU34">
            <v>0.88491192882161696</v>
          </cell>
          <cell r="DV34">
            <v>0.94970746687154473</v>
          </cell>
          <cell r="DW34">
            <v>0.90580285332977728</v>
          </cell>
          <cell r="DY34" t="str">
            <v>SYSTEM</v>
          </cell>
          <cell r="DZ34">
            <v>0.65056697390436935</v>
          </cell>
          <cell r="EA34">
            <v>0.6762984317753854</v>
          </cell>
          <cell r="EB34">
            <v>0.65504317400241918</v>
          </cell>
          <cell r="EC34">
            <v>0.65681524084671938</v>
          </cell>
          <cell r="ED34">
            <v>0.66042220592152712</v>
          </cell>
          <cell r="EE34">
            <v>0.67607755547741133</v>
          </cell>
          <cell r="EF34">
            <v>0.69999039719504097</v>
          </cell>
          <cell r="EG34">
            <v>0.66277844849407397</v>
          </cell>
          <cell r="EH34">
            <v>0.69525082679061834</v>
          </cell>
          <cell r="EI34">
            <v>0.69659850555661318</v>
          </cell>
          <cell r="EJ34">
            <v>0.66883167596616511</v>
          </cell>
          <cell r="EK34">
            <v>0.60548472525760877</v>
          </cell>
          <cell r="EL34">
            <v>0.66272627713067322</v>
          </cell>
        </row>
        <row r="35">
          <cell r="A35" t="str">
            <v>PALMIET</v>
          </cell>
          <cell r="B35">
            <v>67.914000000000001</v>
          </cell>
          <cell r="C35">
            <v>50</v>
          </cell>
          <cell r="D35">
            <v>50</v>
          </cell>
          <cell r="E35">
            <v>50</v>
          </cell>
          <cell r="F35">
            <v>50</v>
          </cell>
          <cell r="G35">
            <v>50</v>
          </cell>
          <cell r="H35">
            <v>50</v>
          </cell>
          <cell r="I35">
            <v>50</v>
          </cell>
          <cell r="J35">
            <v>50</v>
          </cell>
          <cell r="K35">
            <v>50</v>
          </cell>
          <cell r="L35">
            <v>50</v>
          </cell>
          <cell r="M35">
            <v>50</v>
          </cell>
          <cell r="N35">
            <v>617.91399999999999</v>
          </cell>
          <cell r="O35">
            <v>617.91399999999999</v>
          </cell>
          <cell r="P35">
            <v>0</v>
          </cell>
          <cell r="Q35">
            <v>0</v>
          </cell>
          <cell r="AL35" t="str">
            <v>KENDAL</v>
          </cell>
          <cell r="AM35">
            <v>1070.2829999999999</v>
          </cell>
          <cell r="AN35">
            <v>1111</v>
          </cell>
          <cell r="AO35">
            <v>1111</v>
          </cell>
          <cell r="AP35">
            <v>1041</v>
          </cell>
          <cell r="AQ35">
            <v>1181</v>
          </cell>
          <cell r="AR35">
            <v>1142</v>
          </cell>
          <cell r="AS35">
            <v>1238</v>
          </cell>
          <cell r="AT35">
            <v>1110</v>
          </cell>
          <cell r="AU35">
            <v>1150</v>
          </cell>
          <cell r="AV35">
            <v>1161</v>
          </cell>
          <cell r="AW35">
            <v>1202</v>
          </cell>
          <cell r="AX35">
            <v>1138</v>
          </cell>
          <cell r="AY35">
            <v>13655.282999999999</v>
          </cell>
          <cell r="AZ35">
            <v>13943</v>
          </cell>
          <cell r="BA35">
            <v>-287.71700000000055</v>
          </cell>
          <cell r="BB35">
            <v>-2.0635229147242383E-2</v>
          </cell>
          <cell r="BD35" t="str">
            <v>KENDAL</v>
          </cell>
          <cell r="BE35">
            <v>3.7197000000000001E-2</v>
          </cell>
          <cell r="BF35">
            <v>0.04</v>
          </cell>
          <cell r="BG35">
            <v>0.04</v>
          </cell>
          <cell r="BH35">
            <v>0.04</v>
          </cell>
          <cell r="BI35">
            <v>0.04</v>
          </cell>
          <cell r="BJ35">
            <v>0.04</v>
          </cell>
          <cell r="BK35">
            <v>0.04</v>
          </cell>
          <cell r="BL35">
            <v>0.04</v>
          </cell>
          <cell r="BM35">
            <v>0.04</v>
          </cell>
          <cell r="BN35">
            <v>0.04</v>
          </cell>
          <cell r="BO35">
            <v>0.04</v>
          </cell>
          <cell r="BP35">
            <v>0.04</v>
          </cell>
          <cell r="BQ35">
            <v>0.47719699999999993</v>
          </cell>
          <cell r="CV35" t="str">
            <v>PEAKING TOTAL</v>
          </cell>
          <cell r="CW35">
            <v>2342</v>
          </cell>
          <cell r="CX35">
            <v>2342</v>
          </cell>
          <cell r="CY35">
            <v>2342</v>
          </cell>
          <cell r="CZ35">
            <v>2342</v>
          </cell>
          <cell r="DA35">
            <v>2342</v>
          </cell>
          <cell r="DB35">
            <v>2342</v>
          </cell>
          <cell r="DC35">
            <v>2342</v>
          </cell>
          <cell r="DD35">
            <v>2342</v>
          </cell>
          <cell r="DE35">
            <v>2342</v>
          </cell>
          <cell r="DF35">
            <v>2342</v>
          </cell>
          <cell r="DG35">
            <v>2342</v>
          </cell>
          <cell r="DH35">
            <v>2342</v>
          </cell>
        </row>
        <row r="36">
          <cell r="A36" t="str">
            <v>PUMP STORAGE</v>
          </cell>
          <cell r="B36">
            <v>225.91899999999998</v>
          </cell>
          <cell r="C36">
            <v>170</v>
          </cell>
          <cell r="D36">
            <v>170</v>
          </cell>
          <cell r="E36">
            <v>170</v>
          </cell>
          <cell r="F36">
            <v>170</v>
          </cell>
          <cell r="G36">
            <v>170</v>
          </cell>
          <cell r="H36">
            <v>170</v>
          </cell>
          <cell r="I36">
            <v>170</v>
          </cell>
          <cell r="J36">
            <v>170</v>
          </cell>
          <cell r="K36">
            <v>170</v>
          </cell>
          <cell r="L36">
            <v>170</v>
          </cell>
          <cell r="M36">
            <v>170</v>
          </cell>
          <cell r="N36">
            <v>2095.9189999999999</v>
          </cell>
          <cell r="O36">
            <v>2095.9189999999999</v>
          </cell>
          <cell r="P36">
            <v>0</v>
          </cell>
          <cell r="Q36">
            <v>0</v>
          </cell>
          <cell r="AL36" t="str">
            <v>MAJUBA</v>
          </cell>
          <cell r="AM36">
            <v>158.96187899999998</v>
          </cell>
          <cell r="AN36">
            <v>171.90292499999998</v>
          </cell>
          <cell r="AO36">
            <v>189.81</v>
          </cell>
          <cell r="AP36">
            <v>189.81</v>
          </cell>
          <cell r="AQ36">
            <v>179.82</v>
          </cell>
          <cell r="AR36">
            <v>179.82</v>
          </cell>
          <cell r="AS36">
            <v>179.82</v>
          </cell>
          <cell r="AT36">
            <v>179.82</v>
          </cell>
          <cell r="AU36">
            <v>179.82</v>
          </cell>
          <cell r="AV36">
            <v>99.9</v>
          </cell>
          <cell r="AW36">
            <v>99.9</v>
          </cell>
          <cell r="AX36">
            <v>130.74812100000003</v>
          </cell>
          <cell r="AY36">
            <v>1940.1329249999999</v>
          </cell>
          <cell r="AZ36">
            <v>0</v>
          </cell>
          <cell r="BA36">
            <v>1940.1329249999999</v>
          </cell>
          <cell r="BD36" t="str">
            <v>MAJUBA</v>
          </cell>
          <cell r="BE36">
            <v>0.15912099999999998</v>
          </cell>
          <cell r="BF36">
            <v>0.17207499999999998</v>
          </cell>
          <cell r="BG36">
            <v>0.19</v>
          </cell>
          <cell r="BH36">
            <v>0.19</v>
          </cell>
          <cell r="BI36">
            <v>0.18</v>
          </cell>
          <cell r="BJ36">
            <v>0.18</v>
          </cell>
          <cell r="BK36">
            <v>0.18</v>
          </cell>
          <cell r="BL36">
            <v>0.18</v>
          </cell>
          <cell r="BM36">
            <v>0.18</v>
          </cell>
          <cell r="BN36">
            <v>0.1</v>
          </cell>
          <cell r="BO36">
            <v>0.1</v>
          </cell>
          <cell r="BP36">
            <v>0.13087900000000002</v>
          </cell>
          <cell r="BQ36">
            <v>1.9420749999999998</v>
          </cell>
        </row>
        <row r="37">
          <cell r="AL37" t="str">
            <v>MATIMBA</v>
          </cell>
          <cell r="AM37">
            <v>906.65099999999995</v>
          </cell>
          <cell r="AN37">
            <v>809.524</v>
          </cell>
          <cell r="AO37">
            <v>1093.3489999999999</v>
          </cell>
          <cell r="AP37">
            <v>952.38099999999997</v>
          </cell>
          <cell r="AQ37">
            <v>952.38099999999997</v>
          </cell>
          <cell r="AR37">
            <v>1190.4760000000001</v>
          </cell>
          <cell r="AS37">
            <v>952.38099999999997</v>
          </cell>
          <cell r="AT37">
            <v>1047.6189999999999</v>
          </cell>
          <cell r="AU37">
            <v>1000</v>
          </cell>
          <cell r="AV37">
            <v>1190.4760000000001</v>
          </cell>
          <cell r="AW37">
            <v>1047.6189999999999</v>
          </cell>
          <cell r="AX37">
            <v>857.14300000000003</v>
          </cell>
          <cell r="AY37">
            <v>12000.000000000002</v>
          </cell>
          <cell r="AZ37">
            <v>12000</v>
          </cell>
          <cell r="BA37">
            <v>0</v>
          </cell>
          <cell r="BB37">
            <v>0</v>
          </cell>
          <cell r="BD37" t="str">
            <v>MATIMBA</v>
          </cell>
          <cell r="BE37">
            <v>0</v>
          </cell>
          <cell r="BF37">
            <v>0</v>
          </cell>
          <cell r="BG37">
            <v>0</v>
          </cell>
          <cell r="BH37">
            <v>0</v>
          </cell>
          <cell r="BI37">
            <v>0</v>
          </cell>
          <cell r="BJ37">
            <v>0</v>
          </cell>
          <cell r="BK37">
            <v>0</v>
          </cell>
          <cell r="BL37">
            <v>0</v>
          </cell>
          <cell r="BM37">
            <v>0</v>
          </cell>
          <cell r="BN37">
            <v>0</v>
          </cell>
          <cell r="BO37">
            <v>0</v>
          </cell>
          <cell r="BP37">
            <v>0</v>
          </cell>
          <cell r="BQ37">
            <v>0</v>
          </cell>
          <cell r="CV37" t="str">
            <v>ESKOM CAPACITY</v>
          </cell>
          <cell r="CW37">
            <v>33916</v>
          </cell>
          <cell r="CX37">
            <v>33916</v>
          </cell>
          <cell r="CY37">
            <v>34246</v>
          </cell>
          <cell r="CZ37">
            <v>34915</v>
          </cell>
          <cell r="DA37">
            <v>34915</v>
          </cell>
          <cell r="DB37">
            <v>34915</v>
          </cell>
          <cell r="DC37">
            <v>34915</v>
          </cell>
          <cell r="DD37">
            <v>34915</v>
          </cell>
          <cell r="DE37">
            <v>34915</v>
          </cell>
          <cell r="DF37">
            <v>34915</v>
          </cell>
          <cell r="DG37">
            <v>34915</v>
          </cell>
          <cell r="DH37">
            <v>34915</v>
          </cell>
        </row>
        <row r="38">
          <cell r="A38" t="str">
            <v>ESKOM GENERATION</v>
          </cell>
          <cell r="B38">
            <v>14765.338000000003</v>
          </cell>
          <cell r="C38">
            <v>13874.218140714762</v>
          </cell>
          <cell r="D38">
            <v>14887.747942800001</v>
          </cell>
          <cell r="E38">
            <v>14495.379985368309</v>
          </cell>
          <cell r="F38">
            <v>15519.633609924505</v>
          </cell>
          <cell r="G38">
            <v>16001.835195729542</v>
          </cell>
          <cell r="H38">
            <v>16876.460396446972</v>
          </cell>
          <cell r="I38">
            <v>15758.76801</v>
          </cell>
          <cell r="J38">
            <v>15377.086319999989</v>
          </cell>
          <cell r="K38">
            <v>16029.619552000002</v>
          </cell>
          <cell r="L38">
            <v>14943.126592796534</v>
          </cell>
          <cell r="M38">
            <v>14890.114015021831</v>
          </cell>
          <cell r="N38">
            <v>183419.32776080249</v>
          </cell>
          <cell r="O38">
            <v>183419.74759339634</v>
          </cell>
          <cell r="P38">
            <v>-0.41983259384869598</v>
          </cell>
          <cell r="Q38">
            <v>-2.2889170842137347E-6</v>
          </cell>
          <cell r="AL38" t="str">
            <v>TOTAL</v>
          </cell>
          <cell r="AM38">
            <v>7672.3248039999999</v>
          </cell>
          <cell r="AN38">
            <v>7233.9030000000012</v>
          </cell>
          <cell r="AO38">
            <v>7742.4960000000001</v>
          </cell>
          <cell r="AP38">
            <v>7334.2510000000002</v>
          </cell>
          <cell r="AQ38">
            <v>8020.2609999999995</v>
          </cell>
          <cell r="AR38">
            <v>8085.6059999999998</v>
          </cell>
          <cell r="AS38">
            <v>8170.2609999999995</v>
          </cell>
          <cell r="AT38">
            <v>7427.4989999999989</v>
          </cell>
          <cell r="AU38">
            <v>7640.3799999999992</v>
          </cell>
          <cell r="AV38">
            <v>8018.735999999999</v>
          </cell>
          <cell r="AW38">
            <v>7750.9179999999988</v>
          </cell>
          <cell r="AX38">
            <v>7460.991121</v>
          </cell>
          <cell r="AY38">
            <v>92557.62692499999</v>
          </cell>
          <cell r="AZ38">
            <v>91264.501000000004</v>
          </cell>
          <cell r="BA38">
            <v>1293.1259249999857</v>
          </cell>
          <cell r="BB38">
            <v>1.4168991347468012E-2</v>
          </cell>
          <cell r="BD38" t="str">
            <v>TOTAL</v>
          </cell>
          <cell r="BE38">
            <v>0.118393</v>
          </cell>
          <cell r="BF38">
            <v>0.16999999999999998</v>
          </cell>
          <cell r="BG38">
            <v>0.17</v>
          </cell>
          <cell r="BH38">
            <v>0.17</v>
          </cell>
          <cell r="BI38">
            <v>0.16</v>
          </cell>
          <cell r="BJ38">
            <v>0.16</v>
          </cell>
          <cell r="BK38">
            <v>0.16</v>
          </cell>
          <cell r="BL38">
            <v>0.16</v>
          </cell>
          <cell r="BM38">
            <v>0.16</v>
          </cell>
          <cell r="BN38">
            <v>8.0000000000000016E-2</v>
          </cell>
          <cell r="BO38">
            <v>8.0000000000000016E-2</v>
          </cell>
          <cell r="BP38">
            <v>0.11087900000000003</v>
          </cell>
          <cell r="BQ38">
            <v>1.6992719999999994</v>
          </cell>
        </row>
        <row r="39">
          <cell r="CV39" t="str">
            <v>CAHORA BASSA</v>
          </cell>
          <cell r="CW39">
            <v>2060</v>
          </cell>
          <cell r="CX39">
            <v>2060</v>
          </cell>
          <cell r="CY39">
            <v>2060</v>
          </cell>
          <cell r="CZ39">
            <v>2060</v>
          </cell>
          <cell r="DA39">
            <v>2060</v>
          </cell>
          <cell r="DB39">
            <v>2060</v>
          </cell>
          <cell r="DC39">
            <v>2060</v>
          </cell>
          <cell r="DD39">
            <v>2060</v>
          </cell>
          <cell r="DE39">
            <v>2060</v>
          </cell>
          <cell r="DF39">
            <v>2060</v>
          </cell>
          <cell r="DG39">
            <v>2060</v>
          </cell>
          <cell r="DH39">
            <v>2060</v>
          </cell>
        </row>
        <row r="40">
          <cell r="A40" t="str">
            <v>CAHORA BASSA</v>
          </cell>
          <cell r="B40">
            <v>121.15</v>
          </cell>
          <cell r="C40">
            <v>157.505</v>
          </cell>
          <cell r="D40">
            <v>162.80699999999999</v>
          </cell>
          <cell r="E40">
            <v>158.94400000000002</v>
          </cell>
          <cell r="F40">
            <v>166.13899999999998</v>
          </cell>
          <cell r="G40">
            <v>159.505</v>
          </cell>
          <cell r="H40">
            <v>156.637</v>
          </cell>
          <cell r="I40">
            <v>166.98</v>
          </cell>
          <cell r="J40">
            <v>160.27699999999999</v>
          </cell>
          <cell r="K40">
            <v>164.97199999999998</v>
          </cell>
          <cell r="L40">
            <v>157.77199999999999</v>
          </cell>
          <cell r="M40">
            <v>164.63</v>
          </cell>
          <cell r="N40">
            <v>1897.3179999999998</v>
          </cell>
          <cell r="O40">
            <v>1897.3179999999998</v>
          </cell>
          <cell r="P40">
            <v>0</v>
          </cell>
          <cell r="Q40">
            <v>0</v>
          </cell>
          <cell r="CV40" t="str">
            <v>NAMPOWER</v>
          </cell>
        </row>
        <row r="41">
          <cell r="A41" t="str">
            <v>Ca. Bassa(EDM wheeled)</v>
          </cell>
          <cell r="B41">
            <v>57.975999999999999</v>
          </cell>
          <cell r="C41">
            <v>51.295000000000002</v>
          </cell>
          <cell r="D41">
            <v>60.393000000000001</v>
          </cell>
          <cell r="E41">
            <v>57.055999999999997</v>
          </cell>
          <cell r="F41">
            <v>57.061</v>
          </cell>
          <cell r="G41">
            <v>56.494999999999997</v>
          </cell>
          <cell r="H41">
            <v>66.563000000000002</v>
          </cell>
          <cell r="I41">
            <v>56.22</v>
          </cell>
          <cell r="J41">
            <v>55.722999999999999</v>
          </cell>
          <cell r="K41">
            <v>58.228000000000002</v>
          </cell>
          <cell r="L41">
            <v>58.228000000000002</v>
          </cell>
          <cell r="M41">
            <v>58.57</v>
          </cell>
          <cell r="N41">
            <v>693.80799999999988</v>
          </cell>
          <cell r="O41">
            <v>693.80799999999988</v>
          </cell>
          <cell r="P41">
            <v>0</v>
          </cell>
          <cell r="Q41">
            <v>0</v>
          </cell>
          <cell r="CV41" t="str">
            <v>IMPORTS</v>
          </cell>
          <cell r="CW41">
            <v>2060</v>
          </cell>
          <cell r="CX41">
            <v>2060</v>
          </cell>
          <cell r="CY41">
            <v>2060</v>
          </cell>
          <cell r="CZ41">
            <v>2060</v>
          </cell>
          <cell r="DA41">
            <v>2060</v>
          </cell>
          <cell r="DB41">
            <v>2060</v>
          </cell>
          <cell r="DC41">
            <v>2060</v>
          </cell>
          <cell r="DD41">
            <v>2060</v>
          </cell>
          <cell r="DE41">
            <v>2060</v>
          </cell>
          <cell r="DF41">
            <v>2060</v>
          </cell>
          <cell r="DG41">
            <v>2060</v>
          </cell>
          <cell r="DH41">
            <v>2060</v>
          </cell>
        </row>
        <row r="42">
          <cell r="A42" t="str">
            <v>Nampower</v>
          </cell>
          <cell r="B42">
            <v>1.0129999999999999</v>
          </cell>
          <cell r="CV42" t="str">
            <v>TOTAL</v>
          </cell>
          <cell r="CW42">
            <v>35976</v>
          </cell>
          <cell r="CX42">
            <v>35976</v>
          </cell>
          <cell r="CY42">
            <v>36306</v>
          </cell>
          <cell r="CZ42">
            <v>36975</v>
          </cell>
          <cell r="DA42">
            <v>36975</v>
          </cell>
          <cell r="DB42">
            <v>36975</v>
          </cell>
          <cell r="DC42">
            <v>36975</v>
          </cell>
          <cell r="DD42">
            <v>36975</v>
          </cell>
          <cell r="DE42">
            <v>36975</v>
          </cell>
          <cell r="DF42">
            <v>36975</v>
          </cell>
          <cell r="DG42">
            <v>36975</v>
          </cell>
          <cell r="DH42">
            <v>36975</v>
          </cell>
        </row>
        <row r="43">
          <cell r="A43" t="str">
            <v>SNELL</v>
          </cell>
          <cell r="B43">
            <v>31.875</v>
          </cell>
          <cell r="C43">
            <v>30</v>
          </cell>
          <cell r="D43">
            <v>30</v>
          </cell>
          <cell r="E43">
            <v>30</v>
          </cell>
          <cell r="F43">
            <v>30</v>
          </cell>
          <cell r="G43">
            <v>30</v>
          </cell>
          <cell r="H43">
            <v>30</v>
          </cell>
          <cell r="I43">
            <v>30</v>
          </cell>
          <cell r="J43">
            <v>30</v>
          </cell>
          <cell r="K43">
            <v>30</v>
          </cell>
          <cell r="L43">
            <v>30</v>
          </cell>
          <cell r="M43">
            <v>30</v>
          </cell>
          <cell r="N43">
            <v>361.875</v>
          </cell>
          <cell r="O43">
            <v>361.875</v>
          </cell>
          <cell r="P43">
            <v>0</v>
          </cell>
          <cell r="Q43">
            <v>0</v>
          </cell>
        </row>
        <row r="44">
          <cell r="A44" t="str">
            <v>ZESCO</v>
          </cell>
          <cell r="B44">
            <v>31.875</v>
          </cell>
          <cell r="C44">
            <v>30</v>
          </cell>
          <cell r="D44">
            <v>30</v>
          </cell>
          <cell r="E44">
            <v>30</v>
          </cell>
          <cell r="F44">
            <v>30</v>
          </cell>
          <cell r="G44">
            <v>30</v>
          </cell>
          <cell r="H44">
            <v>30</v>
          </cell>
          <cell r="I44">
            <v>30</v>
          </cell>
          <cell r="J44">
            <v>30</v>
          </cell>
          <cell r="K44">
            <v>30</v>
          </cell>
          <cell r="L44">
            <v>30</v>
          </cell>
          <cell r="M44">
            <v>30</v>
          </cell>
          <cell r="N44">
            <v>361.875</v>
          </cell>
          <cell r="O44">
            <v>361.875</v>
          </cell>
          <cell r="P44">
            <v>0</v>
          </cell>
          <cell r="Q44">
            <v>0</v>
          </cell>
          <cell r="CV44" t="str">
            <v>Notes :</v>
          </cell>
          <cell r="CW44" t="str">
            <v xml:space="preserve"> + Majuba 4        (669 MW) - 1 April 1999</v>
          </cell>
        </row>
        <row r="45">
          <cell r="A45" t="str">
            <v>Zesco (Banking Withdr.)</v>
          </cell>
          <cell r="B45">
            <v>22.5</v>
          </cell>
          <cell r="C45">
            <v>15</v>
          </cell>
          <cell r="D45">
            <v>15</v>
          </cell>
          <cell r="E45">
            <v>15</v>
          </cell>
          <cell r="F45">
            <v>15</v>
          </cell>
          <cell r="G45">
            <v>15</v>
          </cell>
          <cell r="H45">
            <v>15</v>
          </cell>
          <cell r="I45">
            <v>15</v>
          </cell>
          <cell r="J45">
            <v>15</v>
          </cell>
          <cell r="K45">
            <v>15</v>
          </cell>
          <cell r="L45">
            <v>15</v>
          </cell>
          <cell r="M45">
            <v>15</v>
          </cell>
          <cell r="N45">
            <v>187.5</v>
          </cell>
          <cell r="O45">
            <v>187.5</v>
          </cell>
          <cell r="P45">
            <v>0</v>
          </cell>
          <cell r="Q45">
            <v>0</v>
          </cell>
          <cell r="CW45" t="str">
            <v xml:space="preserve"> + Cahora Bassa (2060 MW)</v>
          </cell>
        </row>
        <row r="46">
          <cell r="A46" t="str">
            <v>IMPORTS</v>
          </cell>
          <cell r="B46">
            <v>266.38900000000001</v>
          </cell>
          <cell r="C46">
            <v>283.8</v>
          </cell>
          <cell r="D46">
            <v>298.2</v>
          </cell>
          <cell r="E46">
            <v>291</v>
          </cell>
          <cell r="F46">
            <v>298.2</v>
          </cell>
          <cell r="G46">
            <v>291</v>
          </cell>
          <cell r="H46">
            <v>298.2</v>
          </cell>
          <cell r="I46">
            <v>298.2</v>
          </cell>
          <cell r="J46">
            <v>291</v>
          </cell>
          <cell r="K46">
            <v>298.2</v>
          </cell>
          <cell r="L46">
            <v>291</v>
          </cell>
          <cell r="M46">
            <v>298.2</v>
          </cell>
          <cell r="N46">
            <v>3503.3889999999997</v>
          </cell>
          <cell r="O46">
            <v>3503.3889999999997</v>
          </cell>
          <cell r="P46">
            <v>0</v>
          </cell>
          <cell r="Q46">
            <v>0</v>
          </cell>
          <cell r="CW46" t="str">
            <v xml:space="preserve"> + Arnot 6          (330 MW) -  01 Mar 1999</v>
          </cell>
        </row>
        <row r="48">
          <cell r="A48" t="str">
            <v>GROSS GENERATION</v>
          </cell>
          <cell r="B48">
            <v>15031.727000000003</v>
          </cell>
          <cell r="C48">
            <v>14158.018140714761</v>
          </cell>
          <cell r="D48">
            <v>15185.947942800003</v>
          </cell>
          <cell r="E48">
            <v>14786.379985368309</v>
          </cell>
          <cell r="F48">
            <v>15817.833609924506</v>
          </cell>
          <cell r="G48">
            <v>16292.835195729542</v>
          </cell>
          <cell r="H48">
            <v>17174.660396446972</v>
          </cell>
          <cell r="I48">
            <v>16056.968010000001</v>
          </cell>
          <cell r="J48">
            <v>15668.086319999989</v>
          </cell>
          <cell r="K48">
            <v>16327.819552000003</v>
          </cell>
          <cell r="L48">
            <v>15234.126592796534</v>
          </cell>
          <cell r="M48">
            <v>15188.314015021831</v>
          </cell>
          <cell r="N48">
            <v>186922.71676080249</v>
          </cell>
          <cell r="O48">
            <v>186923.13659339634</v>
          </cell>
          <cell r="P48">
            <v>-0.41983259384869598</v>
          </cell>
          <cell r="Q48">
            <v>-2.2460172748006837E-6</v>
          </cell>
        </row>
        <row r="50">
          <cell r="A50" t="str">
            <v>Drakensberg Pump</v>
          </cell>
          <cell r="B50">
            <v>212.89099999999999</v>
          </cell>
          <cell r="C50">
            <v>162</v>
          </cell>
          <cell r="D50">
            <v>162</v>
          </cell>
          <cell r="E50">
            <v>162</v>
          </cell>
          <cell r="F50">
            <v>162</v>
          </cell>
          <cell r="G50">
            <v>162</v>
          </cell>
          <cell r="H50">
            <v>162</v>
          </cell>
          <cell r="I50">
            <v>162</v>
          </cell>
          <cell r="J50">
            <v>162</v>
          </cell>
          <cell r="K50">
            <v>162</v>
          </cell>
          <cell r="L50">
            <v>162</v>
          </cell>
          <cell r="M50">
            <v>162</v>
          </cell>
          <cell r="N50">
            <v>1994.8910000000001</v>
          </cell>
          <cell r="O50">
            <v>1994.8910000000001</v>
          </cell>
          <cell r="P50">
            <v>0</v>
          </cell>
          <cell r="Q50">
            <v>0</v>
          </cell>
        </row>
        <row r="51">
          <cell r="A51" t="str">
            <v>Palmiet Pump</v>
          </cell>
          <cell r="B51">
            <v>90.861999999999995</v>
          </cell>
          <cell r="C51">
            <v>66</v>
          </cell>
          <cell r="D51">
            <v>66</v>
          </cell>
          <cell r="E51">
            <v>66</v>
          </cell>
          <cell r="F51">
            <v>66</v>
          </cell>
          <cell r="G51">
            <v>66</v>
          </cell>
          <cell r="H51">
            <v>66</v>
          </cell>
          <cell r="I51">
            <v>66</v>
          </cell>
          <cell r="J51">
            <v>66</v>
          </cell>
          <cell r="K51">
            <v>66</v>
          </cell>
          <cell r="L51">
            <v>66</v>
          </cell>
          <cell r="M51">
            <v>66</v>
          </cell>
          <cell r="N51">
            <v>816.86199999999997</v>
          </cell>
          <cell r="O51">
            <v>816.86199999999997</v>
          </cell>
          <cell r="P51">
            <v>0</v>
          </cell>
          <cell r="Q51">
            <v>0</v>
          </cell>
        </row>
        <row r="52">
          <cell r="A52" t="str">
            <v xml:space="preserve">P.S. PUMP </v>
          </cell>
          <cell r="B52">
            <v>303.75299999999999</v>
          </cell>
          <cell r="C52">
            <v>228</v>
          </cell>
          <cell r="D52">
            <v>228</v>
          </cell>
          <cell r="E52">
            <v>228</v>
          </cell>
          <cell r="F52">
            <v>228</v>
          </cell>
          <cell r="G52">
            <v>228</v>
          </cell>
          <cell r="H52">
            <v>228</v>
          </cell>
          <cell r="I52">
            <v>228</v>
          </cell>
          <cell r="J52">
            <v>228</v>
          </cell>
          <cell r="K52">
            <v>228</v>
          </cell>
          <cell r="L52">
            <v>228</v>
          </cell>
          <cell r="M52">
            <v>228</v>
          </cell>
          <cell r="N52">
            <v>2811.7529999999997</v>
          </cell>
          <cell r="O52">
            <v>2811.7529999999997</v>
          </cell>
          <cell r="P52">
            <v>0</v>
          </cell>
          <cell r="Q52">
            <v>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Revised contacts"/>
      <sheetName val="Uptake"/>
      <sheetName val="Uptake aggregated"/>
      <sheetName val="Planned Cap"/>
      <sheetName val="Sheet4"/>
    </sheetNames>
    <sheetDataSet>
      <sheetData sheetId="0"/>
      <sheetData sheetId="1">
        <row r="3">
          <cell r="A3" t="str">
            <v>OEM</v>
          </cell>
          <cell r="D3" t="str">
            <v>Local</v>
          </cell>
        </row>
        <row r="4">
          <cell r="A4" t="str">
            <v>EPC/installer/developer</v>
          </cell>
          <cell r="D4" t="str">
            <v>Foreign</v>
          </cell>
        </row>
        <row r="5">
          <cell r="A5" t="str">
            <v xml:space="preserve">Retailer/distributor </v>
          </cell>
        </row>
      </sheetData>
      <sheetData sheetId="2"/>
      <sheetData sheetId="3">
        <row r="11">
          <cell r="B11">
            <v>1375</v>
          </cell>
        </row>
      </sheetData>
      <sheetData sheetId="4"/>
      <sheetData sheetId="5"/>
      <sheetData sheetId="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S Y-E"/>
      <sheetName val="OpEx"/>
      <sheetName val="BEE"/>
      <sheetName val="DIIR"/>
      <sheetName val="HR"/>
      <sheetName val="HIV-Aids"/>
      <sheetName val="Cl Pipeline"/>
      <sheetName val="LTPHI"/>
      <sheetName val="Env. Index"/>
      <sheetName val="Cash Flow"/>
      <sheetName val="ISVA"/>
      <sheetName val="Clusters"/>
      <sheetName val="MES"/>
      <sheetName val="PCLF"/>
      <sheetName val="Floor"/>
      <sheetName val="Kick-in"/>
      <sheetName val="Stretch"/>
      <sheetName val="Ceiling"/>
      <sheetName val="year-end"/>
      <sheetName val="jan"/>
      <sheetName val="feb"/>
      <sheetName val="mar"/>
      <sheetName val="apr"/>
      <sheetName val="may"/>
      <sheetName val="jun"/>
      <sheetName val="jul"/>
      <sheetName val="aug"/>
      <sheetName val="sep"/>
      <sheetName val="oct"/>
      <sheetName val="nov"/>
      <sheetName val="dec"/>
      <sheetName val="PCLF Chart"/>
      <sheetName val="Contract Feedback"/>
      <sheetName val="PCLF G-S"/>
      <sheetName val="UCLF G-S"/>
      <sheetName val="UCF G-S"/>
      <sheetName val="UAGS G-S"/>
      <sheetName val="UCLF Chart"/>
      <sheetName val="UCF- EAF  Chart"/>
      <sheetName val=" UAGS-7000 Chart"/>
      <sheetName val="UAGS Trips - Op Hrs Chart"/>
      <sheetName val="GENKWOs"/>
      <sheetName val="Last 7 years"/>
      <sheetName val="LTPHI vs UAGS Trips"/>
      <sheetName val="Business plan"/>
      <sheetName val="Module1"/>
      <sheetName val="Qm"/>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sheetData sheetId="45" refreshError="1"/>
      <sheetData sheetId="46" refreshError="1"/>
      <sheetData sheetId="4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1"/>
      <sheetName val="ENERGY2"/>
      <sheetName val="Burn Rate"/>
      <sheetName val="CV"/>
      <sheetName val="HEAT RATE"/>
      <sheetName val="OPR ENG"/>
      <sheetName val="COAL BURN"/>
      <sheetName val="NET DELIVERY"/>
      <sheetName val="DELIVERY_2001"/>
      <sheetName val="MINE DELIVERY"/>
      <sheetName val="COAL MOVEMENTS"/>
      <sheetName val="SP DAYS"/>
      <sheetName val="SP TONS"/>
      <sheetName val="STD DAILY BURN"/>
      <sheetName val="EUF"/>
      <sheetName val="EAF"/>
      <sheetName val="UCF"/>
      <sheetName val="PCLF"/>
      <sheetName val="UCLF"/>
      <sheetName val="OCLF"/>
      <sheetName val="CAPACITY"/>
      <sheetName val="UNIPEDE"/>
      <sheetName val="EMMISIONS"/>
      <sheetName val="WATER"/>
      <sheetName val="OUTAGE PLANNING"/>
      <sheetName val="UNIPEDE-FEB"/>
      <sheetName val="UNIPEDE-JAN"/>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2">
          <cell r="A2" t="str">
            <v>ENERGY AVAILABILITY FACTOR (%) FOR 2001</v>
          </cell>
        </row>
        <row r="3">
          <cell r="C3" t="str">
            <v>JAN</v>
          </cell>
          <cell r="D3" t="str">
            <v>FEB</v>
          </cell>
          <cell r="E3" t="str">
            <v>MAR</v>
          </cell>
          <cell r="F3" t="str">
            <v>APR</v>
          </cell>
          <cell r="G3" t="str">
            <v>MAY</v>
          </cell>
          <cell r="H3" t="str">
            <v>JUN</v>
          </cell>
          <cell r="I3" t="str">
            <v>JUL</v>
          </cell>
          <cell r="J3" t="str">
            <v>AUG</v>
          </cell>
          <cell r="K3" t="str">
            <v>SEP</v>
          </cell>
          <cell r="L3" t="str">
            <v>OCT</v>
          </cell>
          <cell r="M3" t="str">
            <v>NOV</v>
          </cell>
          <cell r="N3" t="str">
            <v>DEC</v>
          </cell>
          <cell r="O3" t="str">
            <v xml:space="preserve"> YEAR</v>
          </cell>
        </row>
        <row r="4">
          <cell r="A4" t="str">
            <v>COAL STATIONS</v>
          </cell>
          <cell r="C4" t="str">
            <v>BUDGET</v>
          </cell>
          <cell r="D4" t="str">
            <v>BUDGET</v>
          </cell>
          <cell r="E4" t="str">
            <v>BUDGET</v>
          </cell>
          <cell r="F4" t="str">
            <v>BUDGET</v>
          </cell>
          <cell r="G4" t="str">
            <v>BUDGET</v>
          </cell>
          <cell r="H4" t="str">
            <v>BUDGET</v>
          </cell>
          <cell r="I4" t="str">
            <v>BUDGET</v>
          </cell>
          <cell r="J4" t="str">
            <v>BUDGET</v>
          </cell>
          <cell r="K4" t="str">
            <v>BUDGET</v>
          </cell>
          <cell r="L4" t="str">
            <v>BUDGET</v>
          </cell>
          <cell r="M4" t="str">
            <v>BUDGET</v>
          </cell>
          <cell r="N4" t="str">
            <v>BUDGET</v>
          </cell>
          <cell r="O4" t="str">
            <v>TOTAL</v>
          </cell>
        </row>
        <row r="6">
          <cell r="A6" t="str">
            <v>ARNOT</v>
          </cell>
          <cell r="C6">
            <v>96.5</v>
          </cell>
          <cell r="D6">
            <v>96.5</v>
          </cell>
          <cell r="E6">
            <v>96.5</v>
          </cell>
          <cell r="F6">
            <v>92.6</v>
          </cell>
          <cell r="G6">
            <v>88.973118279569889</v>
          </cell>
          <cell r="H6">
            <v>96.5</v>
          </cell>
          <cell r="I6">
            <v>87.90129032258065</v>
          </cell>
          <cell r="J6">
            <v>76.50333333333333</v>
          </cell>
          <cell r="K6">
            <v>72.055555555555557</v>
          </cell>
          <cell r="L6">
            <v>96.5</v>
          </cell>
          <cell r="M6">
            <v>96.5</v>
          </cell>
          <cell r="N6">
            <v>96.5</v>
          </cell>
          <cell r="O6">
            <v>91.127774790919943</v>
          </cell>
        </row>
        <row r="7">
          <cell r="A7" t="str">
            <v>HENDRINA</v>
          </cell>
          <cell r="C7">
            <v>95.95</v>
          </cell>
          <cell r="D7">
            <v>86.877142857142857</v>
          </cell>
          <cell r="E7">
            <v>85.119677419354844</v>
          </cell>
          <cell r="F7">
            <v>88.43</v>
          </cell>
          <cell r="G7">
            <v>86.49</v>
          </cell>
          <cell r="H7">
            <v>86.713333333333324</v>
          </cell>
          <cell r="I7">
            <v>86.9</v>
          </cell>
          <cell r="J7">
            <v>89.428064516129027</v>
          </cell>
          <cell r="K7">
            <v>86.96</v>
          </cell>
          <cell r="L7">
            <v>84.191935483870978</v>
          </cell>
          <cell r="M7">
            <v>87.973333333333329</v>
          </cell>
          <cell r="N7">
            <v>91.30612903225807</v>
          </cell>
          <cell r="O7">
            <v>88.028301331285206</v>
          </cell>
        </row>
        <row r="8">
          <cell r="A8" t="str">
            <v>KRIEL</v>
          </cell>
          <cell r="C8">
            <v>94.473906810034549</v>
          </cell>
          <cell r="D8">
            <v>83.372103174604632</v>
          </cell>
          <cell r="E8">
            <v>88.403118279569895</v>
          </cell>
          <cell r="F8">
            <v>85.12222222222222</v>
          </cell>
          <cell r="G8">
            <v>96.53</v>
          </cell>
          <cell r="H8">
            <v>90.339814814813479</v>
          </cell>
          <cell r="I8">
            <v>80.781792114696643</v>
          </cell>
          <cell r="J8">
            <v>97.53</v>
          </cell>
          <cell r="K8">
            <v>94.600000000000009</v>
          </cell>
          <cell r="L8">
            <v>94.473906810034549</v>
          </cell>
          <cell r="M8">
            <v>80.12222222222222</v>
          </cell>
          <cell r="N8">
            <v>94.697921146954712</v>
          </cell>
          <cell r="O8">
            <v>90.0372506329294</v>
          </cell>
        </row>
        <row r="9">
          <cell r="A9" t="str">
            <v>MATLA</v>
          </cell>
          <cell r="C9">
            <v>96.9</v>
          </cell>
          <cell r="D9">
            <v>95.114285714285714</v>
          </cell>
          <cell r="E9">
            <v>83.459139784946245</v>
          </cell>
          <cell r="F9">
            <v>96.9</v>
          </cell>
          <cell r="G9">
            <v>96.9</v>
          </cell>
          <cell r="H9">
            <v>96.9</v>
          </cell>
          <cell r="I9">
            <v>96.9</v>
          </cell>
          <cell r="J9">
            <v>94.211827956989254</v>
          </cell>
          <cell r="K9">
            <v>80.233333333333334</v>
          </cell>
          <cell r="L9">
            <v>89.373118279569894</v>
          </cell>
          <cell r="M9">
            <v>89.122222222222234</v>
          </cell>
          <cell r="N9">
            <v>96.9</v>
          </cell>
          <cell r="O9">
            <v>92.742827274278895</v>
          </cell>
        </row>
        <row r="10">
          <cell r="A10" t="str">
            <v>CLUSTER 1</v>
          </cell>
          <cell r="C10">
            <v>95.96568888536595</v>
          </cell>
          <cell r="D10">
            <v>90.56088112788153</v>
          </cell>
          <cell r="E10">
            <v>87.690880399461037</v>
          </cell>
          <cell r="F10">
            <v>91.186848484848483</v>
          </cell>
          <cell r="G10">
            <v>93.315068716810657</v>
          </cell>
          <cell r="H10">
            <v>93.087492765492385</v>
          </cell>
          <cell r="I10">
            <v>88.77180956910027</v>
          </cell>
          <cell r="J10">
            <v>90.804333042720131</v>
          </cell>
          <cell r="K10">
            <v>83.918840294840294</v>
          </cell>
          <cell r="L10">
            <v>91.223745475680587</v>
          </cell>
          <cell r="M10">
            <v>87.823043407043414</v>
          </cell>
          <cell r="N10">
            <v>95.163556735621611</v>
          </cell>
          <cell r="O10">
            <v>90.79268240873887</v>
          </cell>
        </row>
        <row r="12">
          <cell r="A12" t="str">
            <v>DUVHA</v>
          </cell>
          <cell r="C12">
            <v>86.690215053763438</v>
          </cell>
          <cell r="D12">
            <v>79.163333333333327</v>
          </cell>
          <cell r="E12">
            <v>78.088064516129023</v>
          </cell>
          <cell r="F12">
            <v>65.83</v>
          </cell>
          <cell r="G12">
            <v>91.528924731182784</v>
          </cell>
          <cell r="H12">
            <v>95.83</v>
          </cell>
          <cell r="I12">
            <v>95.83</v>
          </cell>
          <cell r="J12">
            <v>95.83</v>
          </cell>
          <cell r="K12">
            <v>95.83</v>
          </cell>
          <cell r="L12">
            <v>90.991290322580639</v>
          </cell>
          <cell r="M12">
            <v>95.83</v>
          </cell>
          <cell r="N12">
            <v>95.83</v>
          </cell>
          <cell r="O12">
            <v>88.939318996415764</v>
          </cell>
        </row>
        <row r="13">
          <cell r="A13" t="str">
            <v>KENDAL</v>
          </cell>
          <cell r="C13">
            <v>96.887096774193552</v>
          </cell>
          <cell r="D13">
            <v>96.11904761904762</v>
          </cell>
          <cell r="E13">
            <v>83.983870967741936</v>
          </cell>
          <cell r="F13">
            <v>89.611111111111114</v>
          </cell>
          <cell r="G13">
            <v>81.833333333333343</v>
          </cell>
          <cell r="H13">
            <v>96.833333333333329</v>
          </cell>
          <cell r="I13">
            <v>98.5</v>
          </cell>
          <cell r="J13">
            <v>98.5</v>
          </cell>
          <cell r="K13">
            <v>94.611111111111114</v>
          </cell>
          <cell r="L13">
            <v>98.5</v>
          </cell>
          <cell r="M13">
            <v>85.722222222222229</v>
          </cell>
          <cell r="N13">
            <v>94.736559139784944</v>
          </cell>
          <cell r="O13">
            <v>92.986473800989941</v>
          </cell>
        </row>
        <row r="14">
          <cell r="A14" t="str">
            <v>MAJUBA</v>
          </cell>
          <cell r="C14">
            <v>98</v>
          </cell>
          <cell r="D14">
            <v>94.98442704113782</v>
          </cell>
          <cell r="E14">
            <v>98</v>
          </cell>
          <cell r="F14">
            <v>98</v>
          </cell>
          <cell r="G14">
            <v>95.750413403507011</v>
          </cell>
          <cell r="H14">
            <v>98</v>
          </cell>
          <cell r="I14">
            <v>98</v>
          </cell>
          <cell r="J14">
            <v>97.01580586403432</v>
          </cell>
          <cell r="K14">
            <v>96.692427790788443</v>
          </cell>
          <cell r="L14">
            <v>98</v>
          </cell>
          <cell r="M14">
            <v>95.67542718362391</v>
          </cell>
          <cell r="N14">
            <v>98</v>
          </cell>
          <cell r="O14">
            <v>97.176541773590941</v>
          </cell>
        </row>
        <row r="15">
          <cell r="A15" t="str">
            <v>CLUSTER 2</v>
          </cell>
          <cell r="C15">
            <v>93.862738297819874</v>
          </cell>
          <cell r="D15">
            <v>90.184557940148537</v>
          </cell>
          <cell r="E15">
            <v>86.291464745486834</v>
          </cell>
          <cell r="F15">
            <v>85.13735441180873</v>
          </cell>
          <cell r="G15">
            <v>89.641932006849729</v>
          </cell>
          <cell r="H15">
            <v>96.925132488996681</v>
          </cell>
          <cell r="I15">
            <v>97.5</v>
          </cell>
          <cell r="J15">
            <v>97.160266050074895</v>
          </cell>
          <cell r="K15">
            <v>95.707281655139369</v>
          </cell>
          <cell r="L15">
            <v>96.000534592015015</v>
          </cell>
          <cell r="M15">
            <v>92.290263181532382</v>
          </cell>
          <cell r="N15">
            <v>96.201912071927978</v>
          </cell>
          <cell r="O15">
            <v>93.075286453483344</v>
          </cell>
        </row>
        <row r="17">
          <cell r="A17" t="str">
            <v>LETHABO</v>
          </cell>
          <cell r="C17">
            <v>66.02956989247312</v>
          </cell>
          <cell r="D17">
            <v>89.412380952380957</v>
          </cell>
          <cell r="E17">
            <v>96.14</v>
          </cell>
          <cell r="F17">
            <v>96.08</v>
          </cell>
          <cell r="G17">
            <v>88.606021505376347</v>
          </cell>
          <cell r="H17">
            <v>90.524444444444441</v>
          </cell>
          <cell r="I17">
            <v>97.75</v>
          </cell>
          <cell r="J17">
            <v>84.849677419354833</v>
          </cell>
          <cell r="K17">
            <v>94.42</v>
          </cell>
          <cell r="L17">
            <v>89.143655913978492</v>
          </cell>
          <cell r="M17">
            <v>91.638888888888886</v>
          </cell>
          <cell r="N17">
            <v>96.14</v>
          </cell>
          <cell r="O17">
            <v>90.061219918074755</v>
          </cell>
        </row>
        <row r="18">
          <cell r="A18" t="str">
            <v>MATIMBA</v>
          </cell>
          <cell r="C18">
            <v>95</v>
          </cell>
          <cell r="D18">
            <v>84.88095238095238</v>
          </cell>
          <cell r="E18">
            <v>89.086021505376351</v>
          </cell>
          <cell r="F18">
            <v>82.777777777777771</v>
          </cell>
          <cell r="G18">
            <v>84.247311827956992</v>
          </cell>
          <cell r="H18">
            <v>95</v>
          </cell>
          <cell r="I18">
            <v>95</v>
          </cell>
          <cell r="J18">
            <v>95</v>
          </cell>
          <cell r="K18">
            <v>91.111111111111114</v>
          </cell>
          <cell r="L18">
            <v>83.709677419354847</v>
          </cell>
          <cell r="M18">
            <v>95</v>
          </cell>
          <cell r="N18">
            <v>95</v>
          </cell>
          <cell r="O18">
            <v>90.484404335210797</v>
          </cell>
        </row>
        <row r="19">
          <cell r="A19" t="str">
            <v>TUTUKA</v>
          </cell>
          <cell r="C19">
            <v>88.967025089604434</v>
          </cell>
          <cell r="D19">
            <v>81.283333333333346</v>
          </cell>
          <cell r="E19">
            <v>91.287813620065947</v>
          </cell>
          <cell r="F19">
            <v>92.334259259253059</v>
          </cell>
          <cell r="G19">
            <v>81.287813620070651</v>
          </cell>
          <cell r="H19">
            <v>97.95</v>
          </cell>
          <cell r="I19">
            <v>97.95</v>
          </cell>
          <cell r="J19">
            <v>95.418637992830242</v>
          </cell>
          <cell r="K19">
            <v>93.287962962957039</v>
          </cell>
          <cell r="L19">
            <v>85.902508960569833</v>
          </cell>
          <cell r="M19">
            <v>81.283333333333346</v>
          </cell>
          <cell r="N19">
            <v>94.352329749100548</v>
          </cell>
          <cell r="O19">
            <v>90.108751493426553</v>
          </cell>
        </row>
        <row r="20">
          <cell r="A20" t="str">
            <v>CLUSTER 3</v>
          </cell>
          <cell r="C20">
            <v>83.450220091274488</v>
          </cell>
          <cell r="D20">
            <v>85.205843624677982</v>
          </cell>
          <cell r="E20">
            <v>92.137364302032921</v>
          </cell>
          <cell r="F20">
            <v>90.295211935301936</v>
          </cell>
          <cell r="G20">
            <v>84.723278580380949</v>
          </cell>
          <cell r="H20">
            <v>94.482289768854187</v>
          </cell>
          <cell r="I20">
            <v>96.872002230897934</v>
          </cell>
          <cell r="J20">
            <v>91.779566054368715</v>
          </cell>
          <cell r="K20">
            <v>92.915700873766426</v>
          </cell>
          <cell r="L20">
            <v>86.222313057348472</v>
          </cell>
          <cell r="M20">
            <v>89.413056949866771</v>
          </cell>
          <cell r="N20">
            <v>95.165718295161085</v>
          </cell>
          <cell r="O20">
            <v>90.22188048032767</v>
          </cell>
        </row>
        <row r="22">
          <cell r="A22" t="str">
            <v>ACACIA</v>
          </cell>
          <cell r="C22">
            <v>98.027252568098376</v>
          </cell>
          <cell r="D22">
            <v>97.987063261102776</v>
          </cell>
          <cell r="E22">
            <v>87.235824172925291</v>
          </cell>
          <cell r="F22">
            <v>93.524719257968357</v>
          </cell>
          <cell r="G22">
            <v>97.23648842894859</v>
          </cell>
          <cell r="H22">
            <v>95.272024616314454</v>
          </cell>
          <cell r="I22">
            <v>94.891763806679194</v>
          </cell>
          <cell r="J22">
            <v>95.445120448069517</v>
          </cell>
          <cell r="K22">
            <v>97.628135426909907</v>
          </cell>
          <cell r="L22">
            <v>98.185227139913806</v>
          </cell>
          <cell r="M22">
            <v>94.420854689500899</v>
          </cell>
          <cell r="N22">
            <v>96.393859159034733</v>
          </cell>
          <cell r="O22">
            <v>95.520694414622156</v>
          </cell>
        </row>
        <row r="23">
          <cell r="A23" t="str">
            <v>PORT REX</v>
          </cell>
          <cell r="C23">
            <v>97.957214197734999</v>
          </cell>
          <cell r="D23">
            <v>95.93229778689313</v>
          </cell>
          <cell r="E23">
            <v>91.475838057354494</v>
          </cell>
          <cell r="F23">
            <v>95.211626706233289</v>
          </cell>
          <cell r="G23">
            <v>97.138375592106527</v>
          </cell>
          <cell r="H23">
            <v>92.578065339788381</v>
          </cell>
          <cell r="I23">
            <v>95.490851050051546</v>
          </cell>
          <cell r="J23">
            <v>97.138375592106527</v>
          </cell>
          <cell r="K23">
            <v>97.543927217214403</v>
          </cell>
          <cell r="L23">
            <v>92.746693391593055</v>
          </cell>
          <cell r="M23">
            <v>98.056376669115892</v>
          </cell>
          <cell r="N23">
            <v>98.120797334230261</v>
          </cell>
          <cell r="O23">
            <v>95.782536577868541</v>
          </cell>
        </row>
        <row r="24">
          <cell r="A24" t="str">
            <v>GARIEP</v>
          </cell>
          <cell r="C24">
            <v>97.302853537154235</v>
          </cell>
          <cell r="D24">
            <v>97.374342787251564</v>
          </cell>
          <cell r="E24">
            <v>97.267014987289357</v>
          </cell>
          <cell r="F24">
            <v>93.975038323110638</v>
          </cell>
          <cell r="G24">
            <v>80.25431675266239</v>
          </cell>
          <cell r="H24">
            <v>96.353419243474477</v>
          </cell>
          <cell r="I24">
            <v>94.836677312768259</v>
          </cell>
          <cell r="J24">
            <v>95.883349010726903</v>
          </cell>
          <cell r="K24">
            <v>96.837087923043725</v>
          </cell>
          <cell r="L24">
            <v>96.180095552544387</v>
          </cell>
          <cell r="M24">
            <v>79.059360206882062</v>
          </cell>
          <cell r="N24">
            <v>97.38977297189922</v>
          </cell>
          <cell r="O24">
            <v>93.55944405073393</v>
          </cell>
        </row>
        <row r="25">
          <cell r="A25" t="str">
            <v>VAN DER KLOOF</v>
          </cell>
          <cell r="C25">
            <v>97.525310913827553</v>
          </cell>
          <cell r="D25">
            <v>97.474895925170358</v>
          </cell>
          <cell r="E25">
            <v>97.115197871632859</v>
          </cell>
          <cell r="F25">
            <v>93.365894447932135</v>
          </cell>
          <cell r="G25">
            <v>96.533346431580483</v>
          </cell>
          <cell r="H25">
            <v>95.557780459585231</v>
          </cell>
          <cell r="I25">
            <v>95.032743292199456</v>
          </cell>
          <cell r="J25">
            <v>82.017217399322405</v>
          </cell>
          <cell r="K25">
            <v>97.024643257425424</v>
          </cell>
          <cell r="L25">
            <v>97.723480199181822</v>
          </cell>
          <cell r="M25">
            <v>97.645439164871817</v>
          </cell>
          <cell r="N25">
            <v>96.91702858627859</v>
          </cell>
          <cell r="O25">
            <v>95.327748162417336</v>
          </cell>
        </row>
        <row r="26">
          <cell r="A26" t="str">
            <v>DRAKENSBERG</v>
          </cell>
          <cell r="C26">
            <v>75.546732933930429</v>
          </cell>
          <cell r="D26">
            <v>71.609660574705543</v>
          </cell>
          <cell r="E26">
            <v>95.464135398943313</v>
          </cell>
          <cell r="F26">
            <v>95.08561973466368</v>
          </cell>
          <cell r="G26">
            <v>94.890719218631304</v>
          </cell>
          <cell r="H26">
            <v>96.853780320756584</v>
          </cell>
          <cell r="I26">
            <v>95.137083143172916</v>
          </cell>
          <cell r="J26">
            <v>95.642063304650847</v>
          </cell>
          <cell r="K26">
            <v>82.492588856929331</v>
          </cell>
          <cell r="L26">
            <v>69.506106209446642</v>
          </cell>
          <cell r="M26">
            <v>64.819657703974514</v>
          </cell>
          <cell r="N26">
            <v>80.46040728471155</v>
          </cell>
          <cell r="O26">
            <v>84.792379557043049</v>
          </cell>
        </row>
        <row r="27">
          <cell r="A27" t="str">
            <v>PALMIET</v>
          </cell>
          <cell r="C27">
            <v>97.787333981887897</v>
          </cell>
          <cell r="D27">
            <v>98.043289394014991</v>
          </cell>
          <cell r="E27">
            <v>50.964288391403684</v>
          </cell>
          <cell r="F27">
            <v>75.575859177087921</v>
          </cell>
          <cell r="G27">
            <v>96.900399896589533</v>
          </cell>
          <cell r="H27">
            <v>96.988345219994102</v>
          </cell>
          <cell r="I27">
            <v>94.666842745956643</v>
          </cell>
          <cell r="J27">
            <v>96.900399896589533</v>
          </cell>
          <cell r="K27">
            <v>97.517032446627297</v>
          </cell>
          <cell r="L27">
            <v>96.351617638258702</v>
          </cell>
          <cell r="M27">
            <v>98.035093381438827</v>
          </cell>
          <cell r="N27">
            <v>97.96452086406515</v>
          </cell>
          <cell r="O27">
            <v>91.474585252826202</v>
          </cell>
        </row>
        <row r="28">
          <cell r="A28" t="str">
            <v>CLUSTER 4</v>
          </cell>
          <cell r="C28">
            <v>88.219518461288303</v>
          </cell>
          <cell r="D28">
            <v>86.437201322361346</v>
          </cell>
          <cell r="E28">
            <v>87.418154518146324</v>
          </cell>
          <cell r="F28">
            <v>91.301753641844954</v>
          </cell>
          <cell r="G28">
            <v>93.487847181641897</v>
          </cell>
          <cell r="H28">
            <v>96.23936038821482</v>
          </cell>
          <cell r="I28">
            <v>95.007817935431675</v>
          </cell>
          <cell r="J28">
            <v>94.592715160484985</v>
          </cell>
          <cell r="K28">
            <v>90.956913143383176</v>
          </cell>
          <cell r="L28">
            <v>84.873860513389147</v>
          </cell>
          <cell r="M28">
            <v>80.633465710042827</v>
          </cell>
          <cell r="N28">
            <v>90.191557225139405</v>
          </cell>
          <cell r="O28">
            <v>89.946680433447398</v>
          </cell>
        </row>
        <row r="30">
          <cell r="A30" t="str">
            <v>KOEBERG</v>
          </cell>
          <cell r="C30">
            <v>57.243612300554965</v>
          </cell>
          <cell r="D30">
            <v>48.642857142857146</v>
          </cell>
          <cell r="E30">
            <v>94.5</v>
          </cell>
          <cell r="F30">
            <v>95.3</v>
          </cell>
          <cell r="G30">
            <v>95.3</v>
          </cell>
          <cell r="H30">
            <v>95</v>
          </cell>
          <cell r="I30">
            <v>87.2</v>
          </cell>
          <cell r="J30">
            <v>77.5</v>
          </cell>
          <cell r="K30">
            <v>47.666666666666664</v>
          </cell>
          <cell r="L30">
            <v>48.825806451612905</v>
          </cell>
          <cell r="M30">
            <v>92.6</v>
          </cell>
          <cell r="N30">
            <v>95.3</v>
          </cell>
          <cell r="O30">
            <v>77.923245213474317</v>
          </cell>
        </row>
        <row r="31">
          <cell r="A31" t="str">
            <v>CLUSTER 5</v>
          </cell>
          <cell r="C31">
            <v>57.243612300554965</v>
          </cell>
          <cell r="D31">
            <v>48.642857142857146</v>
          </cell>
          <cell r="E31">
            <v>94.5</v>
          </cell>
          <cell r="F31">
            <v>95.3</v>
          </cell>
          <cell r="G31">
            <v>95.3</v>
          </cell>
          <cell r="H31">
            <v>95</v>
          </cell>
          <cell r="I31">
            <v>87.2</v>
          </cell>
          <cell r="J31">
            <v>77.5</v>
          </cell>
          <cell r="K31">
            <v>47.666666666666664</v>
          </cell>
          <cell r="L31">
            <v>48.825806451612905</v>
          </cell>
          <cell r="M31">
            <v>92.6</v>
          </cell>
          <cell r="N31">
            <v>95.3</v>
          </cell>
          <cell r="O31">
            <v>77.923245213474317</v>
          </cell>
        </row>
        <row r="33">
          <cell r="A33" t="str">
            <v>ESKOM GENERATION</v>
          </cell>
        </row>
        <row r="35">
          <cell r="A35" t="str">
            <v>ENERGY AVAILABILITY FACTOR (%) FOR 2001</v>
          </cell>
        </row>
        <row r="37">
          <cell r="A37" t="str">
            <v>COAL STATIONS</v>
          </cell>
        </row>
        <row r="39">
          <cell r="A39" t="str">
            <v>ARNOT</v>
          </cell>
        </row>
        <row r="40">
          <cell r="A40" t="str">
            <v>HENDRINA</v>
          </cell>
        </row>
        <row r="41">
          <cell r="A41" t="str">
            <v>KRIEL</v>
          </cell>
        </row>
        <row r="42">
          <cell r="A42" t="str">
            <v>MATLA</v>
          </cell>
        </row>
        <row r="43">
          <cell r="A43" t="str">
            <v>CLUSTER 1</v>
          </cell>
        </row>
        <row r="45">
          <cell r="A45" t="str">
            <v>DUVHA</v>
          </cell>
        </row>
        <row r="46">
          <cell r="A46" t="str">
            <v>KENDAL</v>
          </cell>
        </row>
        <row r="47">
          <cell r="A47" t="str">
            <v>MAJUBA</v>
          </cell>
        </row>
        <row r="48">
          <cell r="A48" t="str">
            <v>CLUSTER 2</v>
          </cell>
        </row>
        <row r="50">
          <cell r="A50" t="str">
            <v>LETHABO</v>
          </cell>
        </row>
        <row r="51">
          <cell r="A51" t="str">
            <v>MATIMBA</v>
          </cell>
        </row>
        <row r="52">
          <cell r="A52" t="str">
            <v>TUTUKA</v>
          </cell>
        </row>
        <row r="53">
          <cell r="A53" t="str">
            <v>CLUSTER 3</v>
          </cell>
        </row>
        <row r="55">
          <cell r="A55" t="str">
            <v>ACACIA</v>
          </cell>
        </row>
        <row r="56">
          <cell r="A56" t="str">
            <v>PORT REX</v>
          </cell>
        </row>
        <row r="57">
          <cell r="A57" t="str">
            <v>GARIEP</v>
          </cell>
        </row>
        <row r="58">
          <cell r="A58" t="str">
            <v>VAN DER KLOOF</v>
          </cell>
        </row>
        <row r="59">
          <cell r="A59" t="str">
            <v>DRAKENSBERG</v>
          </cell>
        </row>
        <row r="60">
          <cell r="A60" t="str">
            <v>PALMIET</v>
          </cell>
        </row>
        <row r="61">
          <cell r="A61" t="str">
            <v>CLUSTER 4</v>
          </cell>
        </row>
        <row r="63">
          <cell r="A63" t="str">
            <v>KOEBERG</v>
          </cell>
        </row>
        <row r="64">
          <cell r="A64" t="str">
            <v>CLUSTER 5</v>
          </cell>
        </row>
        <row r="66">
          <cell r="A66" t="str">
            <v>ESKOM GENERATION</v>
          </cell>
        </row>
        <row r="68">
          <cell r="A68" t="str">
            <v>ENERGY AVAILABILITY FACTOR (%) FOR 2001</v>
          </cell>
        </row>
        <row r="70">
          <cell r="A70" t="str">
            <v>COAL STATIONS</v>
          </cell>
        </row>
        <row r="72">
          <cell r="A72" t="str">
            <v>ARNOT</v>
          </cell>
        </row>
        <row r="73">
          <cell r="A73" t="str">
            <v>HENDRINA</v>
          </cell>
        </row>
        <row r="74">
          <cell r="A74" t="str">
            <v>KRIEL</v>
          </cell>
        </row>
        <row r="75">
          <cell r="A75" t="str">
            <v>MATLA</v>
          </cell>
        </row>
        <row r="76">
          <cell r="A76" t="str">
            <v>CLUSTER 1</v>
          </cell>
        </row>
        <row r="78">
          <cell r="A78" t="str">
            <v>DUVHA</v>
          </cell>
        </row>
        <row r="79">
          <cell r="A79" t="str">
            <v>KENDAL</v>
          </cell>
        </row>
        <row r="80">
          <cell r="A80" t="str">
            <v>MAJUBA</v>
          </cell>
        </row>
        <row r="81">
          <cell r="A81" t="str">
            <v>CLUSTER 2</v>
          </cell>
        </row>
        <row r="83">
          <cell r="A83" t="str">
            <v>LETHABO</v>
          </cell>
        </row>
        <row r="84">
          <cell r="A84" t="str">
            <v>MATIMBA</v>
          </cell>
        </row>
        <row r="85">
          <cell r="A85" t="str">
            <v>TUTUKA</v>
          </cell>
        </row>
        <row r="86">
          <cell r="A86" t="str">
            <v>CLUSTER 3</v>
          </cell>
        </row>
        <row r="88">
          <cell r="A88" t="str">
            <v>ACACIA</v>
          </cell>
        </row>
        <row r="89">
          <cell r="A89" t="str">
            <v>PORT REX</v>
          </cell>
        </row>
        <row r="90">
          <cell r="A90" t="str">
            <v>GARIEP</v>
          </cell>
        </row>
        <row r="91">
          <cell r="A91" t="str">
            <v>VAN DER KLOOF</v>
          </cell>
        </row>
        <row r="92">
          <cell r="A92" t="str">
            <v>DRAKENSBERG</v>
          </cell>
        </row>
        <row r="93">
          <cell r="A93" t="str">
            <v>PALMIET</v>
          </cell>
        </row>
        <row r="94">
          <cell r="A94" t="str">
            <v>CLUSTER 4</v>
          </cell>
        </row>
        <row r="96">
          <cell r="A96" t="str">
            <v>KOEBERG</v>
          </cell>
        </row>
        <row r="97">
          <cell r="A97" t="str">
            <v>CLUSTER 5</v>
          </cell>
        </row>
        <row r="99">
          <cell r="A99" t="str">
            <v>ESKOM GENERATION</v>
          </cell>
        </row>
      </sheetData>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2"/>
      <sheetName val="Table2.1"/>
      <sheetName val="Table2.2"/>
      <sheetName val="Sheet1"/>
      <sheetName val="Sheet2"/>
      <sheetName val="Sheet3"/>
    </sheetNames>
    <sheetDataSet>
      <sheetData sheetId="0"/>
      <sheetData sheetId="1"/>
      <sheetData sheetId="2"/>
      <sheetData sheetId="3" refreshError="1"/>
      <sheetData sheetId="4" refreshError="1"/>
      <sheetData sheetId="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
      <sheetName val="Sets"/>
      <sheetName val="Maps"/>
      <sheetName val="SAM"/>
      <sheetName val="Demand"/>
      <sheetName val="Elasticities"/>
      <sheetName val="Trade"/>
      <sheetName val="Employment"/>
      <sheetName val="Energy"/>
      <sheetName val="FacNest"/>
      <sheetName val="Population"/>
      <sheetName val="CropProd"/>
      <sheetName val="Demand_RawData"/>
      <sheetName val="Elasticities_RawData"/>
      <sheetName val="2019_LMD"/>
      <sheetName val="Census"/>
      <sheetName val="Sheet2"/>
      <sheetName val="Modelled 2019 Emp"/>
      <sheetName val="SH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ID"/>
      <sheetName val="200607ProjectionYearEnd "/>
      <sheetName val="20072008BudgetYTD"/>
      <sheetName val="20072008BudgetMonth"/>
      <sheetName val="20122013BudgetYearEnd"/>
      <sheetName val="20112012BudgetYearEnd"/>
      <sheetName val="20102011BudgetYearEnd"/>
      <sheetName val="20092010BudgetYearEnd"/>
      <sheetName val="10Year0910to1819Annualised"/>
      <sheetName val="200910MonthlyGxProductionBudget"/>
      <sheetName val="Gx10YearProdPlanAnualised"/>
      <sheetName val="GxMonthlyProductionPlan"/>
      <sheetName val="DxKSACS Local Monthly1011"/>
      <sheetName val="Wheel Diagram Input - 10-11BUD"/>
      <sheetName val="Gx Monthly Budget200809"/>
      <sheetName val="InternatSaleBudget 08_09"/>
      <sheetName val="AnnualSalesCurrentBudget"/>
      <sheetName val="7 yr plan (yr 2 to 7)"/>
      <sheetName val="AnnualSalesCurrentBudget (2)"/>
      <sheetName val="Monthly Sales Budget"/>
      <sheetName val="DirectCustomersMonthlyBudget"/>
      <sheetName val="KSACS DirectBud per annum"/>
      <sheetName val="GEN STAT MWH 1996 2008"/>
      <sheetName val="AnnualSalesCurrentBudCHK"/>
      <sheetName val="IntxBudWheelDiagramInput"/>
      <sheetName val="TX Losses"/>
    </sheetNames>
    <sheetDataSet>
      <sheetData sheetId="0"/>
      <sheetData sheetId="1"/>
      <sheetData sheetId="2"/>
      <sheetData sheetId="3"/>
      <sheetData sheetId="4"/>
      <sheetData sheetId="5"/>
      <sheetData sheetId="6"/>
      <sheetData sheetId="7">
        <row r="25">
          <cell r="C25">
            <v>3583.0474404302386</v>
          </cell>
        </row>
      </sheetData>
      <sheetData sheetId="8"/>
      <sheetData sheetId="9"/>
      <sheetData sheetId="10"/>
      <sheetData sheetId="11"/>
      <sheetData sheetId="12"/>
      <sheetData sheetId="13">
        <row r="27">
          <cell r="H27">
            <v>135000</v>
          </cell>
        </row>
      </sheetData>
      <sheetData sheetId="14"/>
      <sheetData sheetId="15"/>
      <sheetData sheetId="16"/>
      <sheetData sheetId="17"/>
      <sheetData sheetId="18"/>
      <sheetData sheetId="19"/>
      <sheetData sheetId="20"/>
      <sheetData sheetId="21"/>
      <sheetData sheetId="22"/>
      <sheetData sheetId="23"/>
      <sheetData sheetId="24"/>
      <sheetData sheetId="25">
        <row r="2">
          <cell r="B2">
            <v>3.4</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creening excercise "/>
      <sheetName val="Multipliers"/>
      <sheetName val="Lists"/>
      <sheetName val="Planned Cap"/>
      <sheetName val="INFO"/>
      <sheetName val="Comparative assessment"/>
      <sheetName val="Key metrics"/>
      <sheetName val="Main dashboard with impact"/>
      <sheetName val="Key assumptions"/>
      <sheetName val="Scenarios"/>
      <sheetName val="Combined tech cost assumptions"/>
      <sheetName val="QM"/>
      <sheetName val="QA"/>
      <sheetName val="QINV"/>
      <sheetName val="QINT"/>
      <sheetName val="supply demand table"/>
      <sheetName val="iwts"/>
      <sheetName val="check import value to satim"/>
      <sheetName val="Wind energy_IMG"/>
      <sheetName val="ModelSheet"/>
      <sheetName val="Solar PV_IMG"/>
      <sheetName val="LI Battery _IMG"/>
      <sheetName val="VRF battery storage_IMG"/>
      <sheetName val="Materials used"/>
      <sheetName val="IO table for RE parts"/>
      <sheetName val="From SAM"/>
      <sheetName val="Sheet4"/>
      <sheetName val="Sec data - lion"/>
      <sheetName val="Sec data - solar"/>
      <sheetName val="Sec data - wind"/>
      <sheetName val="Sec data - VRF"/>
      <sheetName val="Cost breakdown - wind"/>
      <sheetName val="Cost breakdown - LIon "/>
    </sheetNames>
    <sheetDataSet>
      <sheetData sheetId="0"/>
      <sheetData sheetId="1"/>
      <sheetData sheetId="2"/>
      <sheetData sheetId="3"/>
      <sheetData sheetId="4"/>
      <sheetData sheetId="5"/>
      <sheetData sheetId="6"/>
      <sheetData sheetId="7"/>
      <sheetData sheetId="8">
        <row r="4">
          <cell r="C4">
            <v>14.4</v>
          </cell>
        </row>
        <row r="5">
          <cell r="C5">
            <v>0.83526682134570773</v>
          </cell>
        </row>
        <row r="6">
          <cell r="C6">
            <v>17.239999999999998</v>
          </cell>
        </row>
        <row r="7">
          <cell r="C7">
            <v>0.10090817356205853</v>
          </cell>
        </row>
        <row r="8">
          <cell r="C8">
            <v>7.0000000000000007E-2</v>
          </cell>
        </row>
        <row r="9">
          <cell r="C9">
            <v>0.11666666666666668</v>
          </cell>
        </row>
        <row r="12">
          <cell r="C12"/>
          <cell r="D12"/>
          <cell r="E12">
            <v>20.9</v>
          </cell>
        </row>
        <row r="13">
          <cell r="C13"/>
          <cell r="D13"/>
          <cell r="E13">
            <v>50.9</v>
          </cell>
        </row>
        <row r="14">
          <cell r="C14"/>
          <cell r="D14"/>
          <cell r="E14">
            <v>2.4354066985645932</v>
          </cell>
        </row>
        <row r="17">
          <cell r="C17"/>
          <cell r="D17"/>
          <cell r="E17">
            <v>47.3</v>
          </cell>
        </row>
        <row r="18">
          <cell r="C18"/>
          <cell r="D18"/>
          <cell r="E18">
            <v>50.9</v>
          </cell>
        </row>
        <row r="19">
          <cell r="C19"/>
          <cell r="D19"/>
          <cell r="E19">
            <v>1.0761099365750528</v>
          </cell>
        </row>
        <row r="22">
          <cell r="C22"/>
          <cell r="D22"/>
          <cell r="E22">
            <v>26.4</v>
          </cell>
        </row>
        <row r="23">
          <cell r="C23"/>
          <cell r="D23"/>
          <cell r="E23">
            <v>50.9</v>
          </cell>
        </row>
        <row r="24">
          <cell r="C24"/>
          <cell r="D24"/>
          <cell r="E24">
            <v>1.928030303030303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44">
          <cell r="Z44">
            <v>15.57</v>
          </cell>
          <cell r="AA44">
            <v>85.72</v>
          </cell>
        </row>
        <row r="45">
          <cell r="Z45">
            <v>242.59</v>
          </cell>
        </row>
      </sheetData>
      <sheetData sheetId="24"/>
      <sheetData sheetId="25">
        <row r="2">
          <cell r="B2" t="str">
            <v xml:space="preserve">Labour </v>
          </cell>
          <cell r="C2">
            <v>1</v>
          </cell>
        </row>
        <row r="3">
          <cell r="B3" t="str">
            <v>Agriculture</v>
          </cell>
          <cell r="C3">
            <v>0.11518188435610975</v>
          </cell>
        </row>
        <row r="4">
          <cell r="B4" t="str">
            <v>Forestry</v>
          </cell>
          <cell r="C4">
            <v>0.13028610509517838</v>
          </cell>
        </row>
        <row r="5">
          <cell r="B5" t="str">
            <v>Fishing</v>
          </cell>
          <cell r="C5">
            <v>0.2537912578055308</v>
          </cell>
        </row>
        <row r="6">
          <cell r="B6" t="str">
            <v>Coal and lignite</v>
          </cell>
          <cell r="C6">
            <v>0.16432815555804633</v>
          </cell>
        </row>
        <row r="7">
          <cell r="B7" t="str">
            <v>Metal ores</v>
          </cell>
          <cell r="C7">
            <v>0.25730334171498648</v>
          </cell>
        </row>
        <row r="8">
          <cell r="B8" t="str">
            <v>Other mining</v>
          </cell>
          <cell r="C8">
            <v>0.19876822215122811</v>
          </cell>
        </row>
        <row r="9">
          <cell r="B9" t="str">
            <v xml:space="preserve">Food </v>
          </cell>
          <cell r="C9">
            <v>0.14396472540131489</v>
          </cell>
        </row>
        <row r="10">
          <cell r="B10" t="str">
            <v>Beverages and tobacco</v>
          </cell>
          <cell r="C10">
            <v>0.15534933446099661</v>
          </cell>
        </row>
        <row r="11">
          <cell r="B11" t="str">
            <v>Spinning and textiles</v>
          </cell>
          <cell r="C11">
            <v>0.13012361465693609</v>
          </cell>
        </row>
        <row r="12">
          <cell r="B12" t="str">
            <v>Knitted fabrics, fur</v>
          </cell>
          <cell r="C12">
            <v>0.22981199012186712</v>
          </cell>
        </row>
        <row r="13">
          <cell r="B13" t="str">
            <v>Leather and luggage</v>
          </cell>
          <cell r="C13">
            <v>8.4399070847451019E-2</v>
          </cell>
        </row>
        <row r="14">
          <cell r="B14" t="str">
            <v>Footwear</v>
          </cell>
          <cell r="C14">
            <v>0.15379805405519298</v>
          </cell>
        </row>
        <row r="15">
          <cell r="B15" t="str">
            <v>Wood</v>
          </cell>
          <cell r="C15">
            <v>0.17918107991482657</v>
          </cell>
        </row>
        <row r="16">
          <cell r="B16" t="str">
            <v xml:space="preserve">Paper </v>
          </cell>
          <cell r="C16">
            <v>0.10389962442415457</v>
          </cell>
        </row>
        <row r="17">
          <cell r="B17" t="str">
            <v>Publishing</v>
          </cell>
          <cell r="C17">
            <v>0.30557059589154911</v>
          </cell>
        </row>
        <row r="18">
          <cell r="B18" t="str">
            <v>Coke oven manufacture</v>
          </cell>
          <cell r="C18">
            <v>3.2149795524744749E-2</v>
          </cell>
        </row>
        <row r="19">
          <cell r="B19" t="str">
            <v>Nuclear fuel</v>
          </cell>
          <cell r="C19">
            <v>0.10259501084192892</v>
          </cell>
        </row>
        <row r="20">
          <cell r="B20" t="str">
            <v>Other chemicals</v>
          </cell>
          <cell r="C20">
            <v>0.18962875601514917</v>
          </cell>
        </row>
        <row r="21">
          <cell r="B21" t="str">
            <v xml:space="preserve">Rubber </v>
          </cell>
          <cell r="C21">
            <v>0.15928620915292227</v>
          </cell>
        </row>
        <row r="22">
          <cell r="B22" t="str">
            <v>Plastic</v>
          </cell>
          <cell r="C22">
            <v>0.33344492103570295</v>
          </cell>
        </row>
        <row r="23">
          <cell r="B23" t="str">
            <v>Glass</v>
          </cell>
          <cell r="C23">
            <v>0.26218647053418948</v>
          </cell>
        </row>
        <row r="24">
          <cell r="B24" t="str">
            <v>Non-metallic minerals</v>
          </cell>
          <cell r="C24">
            <v>0.10947716642839322</v>
          </cell>
          <cell r="D24">
            <v>0.27312447381898247</v>
          </cell>
          <cell r="E24">
            <v>0.89423328598982488</v>
          </cell>
        </row>
        <row r="25">
          <cell r="B25" t="str">
            <v>Furniture</v>
          </cell>
          <cell r="C25">
            <v>0.20231213872832371</v>
          </cell>
        </row>
        <row r="26">
          <cell r="B26" t="str">
            <v>Recycling and NEC</v>
          </cell>
          <cell r="C26">
            <v>9.7535709521338151E-2</v>
          </cell>
        </row>
        <row r="27">
          <cell r="B27" t="str">
            <v>Basic iron and steel</v>
          </cell>
          <cell r="C27">
            <v>9.7044444371923971E-2</v>
          </cell>
        </row>
        <row r="28">
          <cell r="B28" t="str">
            <v>Precious metals</v>
          </cell>
          <cell r="C28">
            <v>9.2498684916097959E-2</v>
          </cell>
        </row>
        <row r="29">
          <cell r="B29" t="str">
            <v xml:space="preserve">Structural metal </v>
          </cell>
          <cell r="C29">
            <v>0.23534870376544167</v>
          </cell>
          <cell r="D29">
            <v>0.26942155512861127</v>
          </cell>
        </row>
        <row r="30">
          <cell r="B30" t="str">
            <v>General machinery</v>
          </cell>
          <cell r="C30">
            <v>0.21461586851831049</v>
          </cell>
          <cell r="D30">
            <v>0.30161258163728344</v>
          </cell>
        </row>
        <row r="31">
          <cell r="B31" t="str">
            <v>Electrical machinery</v>
          </cell>
          <cell r="C31">
            <v>0.13001734713264965</v>
          </cell>
          <cell r="D31">
            <v>0.13384530789117749</v>
          </cell>
          <cell r="E31">
            <v>0.7729491147318106</v>
          </cell>
        </row>
        <row r="32">
          <cell r="B32" t="str">
            <v>Electronic valves</v>
          </cell>
          <cell r="C32">
            <v>0.20351916667271602</v>
          </cell>
        </row>
        <row r="33">
          <cell r="B33" t="str">
            <v>Medical appliances</v>
          </cell>
          <cell r="C33">
            <v>0.15567449272691861</v>
          </cell>
        </row>
        <row r="34">
          <cell r="B34" t="str">
            <v>Motor vehicles</v>
          </cell>
          <cell r="C34">
            <v>0.12401577675549713</v>
          </cell>
        </row>
        <row r="35">
          <cell r="B35" t="str">
            <v>Electricity, gas and water</v>
          </cell>
          <cell r="C35">
            <v>0.16765095473177932</v>
          </cell>
        </row>
        <row r="36">
          <cell r="B36" t="str">
            <v>Distribution of water</v>
          </cell>
          <cell r="C36">
            <v>0.1371129642086289</v>
          </cell>
        </row>
        <row r="37">
          <cell r="B37" t="str">
            <v>Construction</v>
          </cell>
          <cell r="C37">
            <v>0.13634279527155291</v>
          </cell>
        </row>
        <row r="38">
          <cell r="B38" t="str">
            <v>Trade</v>
          </cell>
          <cell r="C38">
            <v>0.25920898568505807</v>
          </cell>
        </row>
        <row r="39">
          <cell r="B39" t="str">
            <v>Hotels and restaurants</v>
          </cell>
          <cell r="C39">
            <v>0.16546166810676805</v>
          </cell>
        </row>
        <row r="40">
          <cell r="B40" t="str">
            <v>Transport</v>
          </cell>
          <cell r="C40">
            <v>0.15887690734069559</v>
          </cell>
        </row>
        <row r="41">
          <cell r="B41" t="str">
            <v>Telecommunications</v>
          </cell>
          <cell r="C41">
            <v>0.13892359211749608</v>
          </cell>
        </row>
        <row r="42">
          <cell r="B42" t="str">
            <v>Financial intermediation</v>
          </cell>
          <cell r="C42">
            <v>0.31068763577705294</v>
          </cell>
        </row>
        <row r="43">
          <cell r="B43" t="str">
            <v>Insurance and pensions</v>
          </cell>
          <cell r="C43">
            <v>0.2006104726147144</v>
          </cell>
        </row>
        <row r="44">
          <cell r="B44" t="str">
            <v xml:space="preserve">Auxiliary financial </v>
          </cell>
          <cell r="C44">
            <v>0.32469691260887873</v>
          </cell>
        </row>
        <row r="45">
          <cell r="B45" t="str">
            <v>Real estate activities</v>
          </cell>
          <cell r="C45">
            <v>3.5885563224565889E-2</v>
          </cell>
        </row>
        <row r="46">
          <cell r="B46" t="str">
            <v>Renting of machinery</v>
          </cell>
          <cell r="C46">
            <v>0.12138980230577215</v>
          </cell>
        </row>
        <row r="47">
          <cell r="B47" t="str">
            <v xml:space="preserve">Research </v>
          </cell>
          <cell r="C47">
            <v>0.345572856146874</v>
          </cell>
        </row>
        <row r="48">
          <cell r="B48" t="str">
            <v>Computer activities</v>
          </cell>
          <cell r="C48">
            <v>0.28438292530272191</v>
          </cell>
        </row>
        <row r="49">
          <cell r="B49" t="str">
            <v>Other community activities</v>
          </cell>
          <cell r="C49">
            <v>0.57199524656742706</v>
          </cell>
        </row>
        <row r="50">
          <cell r="B50" t="str">
            <v>Education</v>
          </cell>
          <cell r="C50">
            <v>0.19259856066163863</v>
          </cell>
        </row>
        <row r="51">
          <cell r="B51" t="str">
            <v>Health and social work</v>
          </cell>
          <cell r="C51">
            <v>0.19747407075768145</v>
          </cell>
        </row>
        <row r="52">
          <cell r="B52" t="str">
            <v>Other services nec</v>
          </cell>
          <cell r="C52">
            <v>0.22805981621458249</v>
          </cell>
        </row>
      </sheetData>
      <sheetData sheetId="26"/>
      <sheetData sheetId="27"/>
      <sheetData sheetId="28">
        <row r="135">
          <cell r="R135">
            <v>7.2916666666666671E-2</v>
          </cell>
        </row>
      </sheetData>
      <sheetData sheetId="29"/>
      <sheetData sheetId="30"/>
      <sheetData sheetId="31"/>
      <sheetData sheetId="32"/>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ind energy"/>
      <sheetName val="Sheet1"/>
      <sheetName val="Solar PV"/>
      <sheetName val="LI Battery "/>
      <sheetName val="VRF battery storage"/>
      <sheetName val="From SAM"/>
    </sheetNames>
    <sheetDataSet>
      <sheetData sheetId="0" refreshError="1"/>
      <sheetData sheetId="1" refreshError="1"/>
      <sheetData sheetId="2" refreshError="1"/>
      <sheetData sheetId="3" refreshError="1"/>
      <sheetData sheetId="4" refreshError="1"/>
      <sheetData sheetId="5" refreshError="1">
        <row r="2">
          <cell r="B2" t="str">
            <v xml:space="preserve">Labour </v>
          </cell>
          <cell r="C2">
            <v>1</v>
          </cell>
        </row>
        <row r="3">
          <cell r="B3" t="str">
            <v>Agriculture</v>
          </cell>
          <cell r="C3">
            <v>0.11518188435610975</v>
          </cell>
        </row>
        <row r="4">
          <cell r="B4" t="str">
            <v>Forestry</v>
          </cell>
          <cell r="C4">
            <v>0.13028610509517838</v>
          </cell>
        </row>
        <row r="5">
          <cell r="B5" t="str">
            <v>Fishing</v>
          </cell>
          <cell r="C5">
            <v>0.2537912578055308</v>
          </cell>
        </row>
        <row r="6">
          <cell r="B6" t="str">
            <v>Coal and lignite</v>
          </cell>
          <cell r="C6">
            <v>0.16432815555804633</v>
          </cell>
        </row>
        <row r="7">
          <cell r="B7" t="str">
            <v>Metal ores</v>
          </cell>
          <cell r="C7">
            <v>0.25730334171498648</v>
          </cell>
        </row>
        <row r="8">
          <cell r="B8" t="str">
            <v>Other mining</v>
          </cell>
          <cell r="C8">
            <v>0.19876822215122811</v>
          </cell>
        </row>
        <row r="9">
          <cell r="B9" t="str">
            <v xml:space="preserve">Food </v>
          </cell>
          <cell r="C9">
            <v>0.14396472540131489</v>
          </cell>
        </row>
        <row r="10">
          <cell r="B10" t="str">
            <v>Beverages and tobacco</v>
          </cell>
          <cell r="C10">
            <v>0.15534933446099661</v>
          </cell>
        </row>
        <row r="11">
          <cell r="B11" t="str">
            <v>Spinning and textiles</v>
          </cell>
          <cell r="C11">
            <v>0.13012361465693609</v>
          </cell>
        </row>
        <row r="12">
          <cell r="B12" t="str">
            <v>Knitted fabrics, fur</v>
          </cell>
          <cell r="C12">
            <v>0.22981199012186712</v>
          </cell>
        </row>
        <row r="13">
          <cell r="B13" t="str">
            <v>Leather and luggage</v>
          </cell>
          <cell r="C13">
            <v>8.4399070847451019E-2</v>
          </cell>
        </row>
        <row r="14">
          <cell r="B14" t="str">
            <v>Footwear</v>
          </cell>
          <cell r="C14">
            <v>0.15379805405519298</v>
          </cell>
        </row>
        <row r="15">
          <cell r="B15" t="str">
            <v>Wood</v>
          </cell>
          <cell r="C15">
            <v>0.17918107991482657</v>
          </cell>
        </row>
        <row r="16">
          <cell r="B16" t="str">
            <v xml:space="preserve">Paper </v>
          </cell>
          <cell r="C16">
            <v>0.10389962442415457</v>
          </cell>
        </row>
        <row r="17">
          <cell r="B17" t="str">
            <v>Publishing</v>
          </cell>
          <cell r="C17">
            <v>0.30557059589154911</v>
          </cell>
        </row>
        <row r="18">
          <cell r="B18" t="str">
            <v>Coke oven manufacture</v>
          </cell>
          <cell r="C18">
            <v>3.2149795524744749E-2</v>
          </cell>
        </row>
        <row r="19">
          <cell r="B19" t="str">
            <v>Nuclear fuel</v>
          </cell>
          <cell r="C19">
            <v>0.10259501084192892</v>
          </cell>
        </row>
        <row r="20">
          <cell r="B20" t="str">
            <v>Other chemicals</v>
          </cell>
          <cell r="C20">
            <v>0.18962875601514917</v>
          </cell>
        </row>
        <row r="21">
          <cell r="B21" t="str">
            <v xml:space="preserve">Rubber </v>
          </cell>
          <cell r="C21">
            <v>0.15928620915292227</v>
          </cell>
        </row>
        <row r="22">
          <cell r="B22" t="str">
            <v>Plastic</v>
          </cell>
          <cell r="C22">
            <v>0.33344492103570295</v>
          </cell>
        </row>
        <row r="23">
          <cell r="B23" t="str">
            <v>Glass</v>
          </cell>
          <cell r="C23">
            <v>0.26218647053418948</v>
          </cell>
        </row>
        <row r="24">
          <cell r="B24" t="str">
            <v>Non-metallic minerals</v>
          </cell>
          <cell r="C24">
            <v>0.10947716642839322</v>
          </cell>
        </row>
        <row r="25">
          <cell r="B25" t="str">
            <v>Furniture</v>
          </cell>
          <cell r="C25">
            <v>0.20231213872832371</v>
          </cell>
        </row>
        <row r="26">
          <cell r="B26" t="str">
            <v>Recycling and NEC</v>
          </cell>
          <cell r="C26">
            <v>9.7535709521338151E-2</v>
          </cell>
        </row>
        <row r="27">
          <cell r="B27" t="str">
            <v>Basic iron and steel</v>
          </cell>
          <cell r="C27">
            <v>9.7044444371923971E-2</v>
          </cell>
        </row>
        <row r="28">
          <cell r="B28" t="str">
            <v>Precious metals</v>
          </cell>
          <cell r="C28">
            <v>9.2498684916097959E-2</v>
          </cell>
        </row>
        <row r="29">
          <cell r="B29" t="str">
            <v xml:space="preserve">Structural metal </v>
          </cell>
          <cell r="C29">
            <v>0.23534870376544167</v>
          </cell>
        </row>
        <row r="30">
          <cell r="B30" t="str">
            <v>General machinery</v>
          </cell>
          <cell r="C30">
            <v>0.21461586851831049</v>
          </cell>
        </row>
        <row r="31">
          <cell r="B31" t="str">
            <v>Electrical machinery</v>
          </cell>
          <cell r="C31">
            <v>0.13001734713264965</v>
          </cell>
        </row>
        <row r="32">
          <cell r="B32" t="str">
            <v>Electronic valves</v>
          </cell>
          <cell r="C32">
            <v>0.20351916667271602</v>
          </cell>
        </row>
        <row r="33">
          <cell r="B33" t="str">
            <v>Medical appliances</v>
          </cell>
          <cell r="C33">
            <v>0.15567449272691861</v>
          </cell>
        </row>
        <row r="34">
          <cell r="B34" t="str">
            <v>Motor vehicles</v>
          </cell>
          <cell r="C34">
            <v>0.12401577675549713</v>
          </cell>
        </row>
        <row r="35">
          <cell r="B35" t="str">
            <v>Electricity, gas and water</v>
          </cell>
          <cell r="C35">
            <v>0.16765095473177932</v>
          </cell>
        </row>
        <row r="36">
          <cell r="B36" t="str">
            <v>Distribution of water</v>
          </cell>
          <cell r="C36">
            <v>0.1371129642086289</v>
          </cell>
        </row>
        <row r="37">
          <cell r="B37" t="str">
            <v>Construction</v>
          </cell>
          <cell r="C37">
            <v>0.13634279527155291</v>
          </cell>
        </row>
        <row r="38">
          <cell r="B38" t="str">
            <v>Trade</v>
          </cell>
          <cell r="C38">
            <v>0.25920898568505807</v>
          </cell>
        </row>
        <row r="39">
          <cell r="B39" t="str">
            <v>Hotels and restaurants</v>
          </cell>
          <cell r="C39">
            <v>0.16546166810676805</v>
          </cell>
        </row>
        <row r="40">
          <cell r="B40" t="str">
            <v>Transport</v>
          </cell>
          <cell r="C40">
            <v>0.15887690734069559</v>
          </cell>
        </row>
        <row r="41">
          <cell r="B41" t="str">
            <v>Telecommunications</v>
          </cell>
          <cell r="C41">
            <v>0.13892359211749608</v>
          </cell>
        </row>
        <row r="42">
          <cell r="B42" t="str">
            <v>Financial intermediation</v>
          </cell>
          <cell r="C42">
            <v>0.31068763577705294</v>
          </cell>
        </row>
        <row r="43">
          <cell r="B43" t="str">
            <v>Insurance and pensions</v>
          </cell>
          <cell r="C43">
            <v>0.2006104726147144</v>
          </cell>
        </row>
        <row r="44">
          <cell r="B44" t="str">
            <v xml:space="preserve">Auxiliary financial </v>
          </cell>
          <cell r="C44">
            <v>0.32469691260887873</v>
          </cell>
        </row>
        <row r="45">
          <cell r="B45" t="str">
            <v>Real estate activities</v>
          </cell>
          <cell r="C45">
            <v>3.5885563224565889E-2</v>
          </cell>
        </row>
        <row r="46">
          <cell r="B46" t="str">
            <v>Renting of machinery</v>
          </cell>
          <cell r="C46">
            <v>0.12138980230577215</v>
          </cell>
        </row>
        <row r="47">
          <cell r="B47" t="str">
            <v xml:space="preserve">Research </v>
          </cell>
          <cell r="C47">
            <v>0.345572856146874</v>
          </cell>
        </row>
        <row r="48">
          <cell r="B48" t="str">
            <v>Computer activities</v>
          </cell>
          <cell r="C48">
            <v>0.28438292530272191</v>
          </cell>
        </row>
        <row r="49">
          <cell r="B49" t="str">
            <v>Other community activities</v>
          </cell>
          <cell r="C49">
            <v>0.57199524656742706</v>
          </cell>
        </row>
        <row r="50">
          <cell r="B50" t="str">
            <v>Education</v>
          </cell>
          <cell r="C50">
            <v>0.19259856066163863</v>
          </cell>
        </row>
        <row r="51">
          <cell r="B51" t="str">
            <v>Health and social work</v>
          </cell>
          <cell r="C51">
            <v>0.19747407075768145</v>
          </cell>
        </row>
        <row r="52">
          <cell r="B52" t="str">
            <v>Other services nec</v>
          </cell>
          <cell r="C52">
            <v>0.22805981621458249</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Assumptions"/>
      <sheetName val="Processes"/>
      <sheetName val="tables for reports"/>
      <sheetName val="ProcDataGenPre2012"/>
      <sheetName val="ProcDataGen2012On"/>
      <sheetName val="ProcDataIRP"/>
      <sheetName val="ProcDataJETP1"/>
      <sheetName val="ProcDataJETP2"/>
      <sheetName val="ProcDataJETP3"/>
      <sheetName val="ProcDataRMIPPPP"/>
      <sheetName val="ProcDataREPROG"/>
      <sheetName val="ProcDataMREPROG"/>
      <sheetName val="ProcDataRECostProfiles"/>
      <sheetName val="ProcDataTnD"/>
      <sheetName val="ProcDataExports"/>
      <sheetName val="ProcDataMines"/>
      <sheetName val="Commodities"/>
      <sheetName val="CommData"/>
      <sheetName val="ProcDataRM"/>
      <sheetName val="ProcDataAux"/>
      <sheetName val="ProcDataLowEAF"/>
      <sheetName val="ProcDataEndoRetire"/>
      <sheetName val="ProcDataEndoRetireIRP"/>
      <sheetName val="ProcDataRampRates"/>
      <sheetName val="JETPsep22"/>
      <sheetName val="EskomCoalPrice2019"/>
      <sheetName val="eskom production 2009-YTD"/>
      <sheetName val="eskom fuel 2009-YTD"/>
      <sheetName val="HistoricalDispatch"/>
      <sheetName val="DecomSchedule"/>
      <sheetName val="NERSA2017"/>
      <sheetName val="NERSA2018"/>
      <sheetName val="EskomCoalNERSACombined"/>
      <sheetName val="RMIPPPP"/>
      <sheetName val="REIPPP"/>
      <sheetName val="IRP Costs"/>
      <sheetName val="PumpStorage"/>
      <sheetName val="NBI_NREL_etc"/>
      <sheetName val="CoalIPP"/>
      <sheetName val="FGD costs"/>
      <sheetName val="PWR_Lab"/>
      <sheetName val="Lab.Calcs.Assumptions"/>
      <sheetName val="SAM"/>
      <sheetName val="SAM2019"/>
      <sheetName val="From SAM"/>
      <sheetName val="ElecBY"/>
      <sheetName val="Deflator"/>
      <sheetName val="ANSv2-692-REGIONS"/>
      <sheetName val="ANSv2-692-Commodities"/>
      <sheetName val="ANSv2-692-Processes"/>
      <sheetName val="ANSv2-692-Constraints"/>
      <sheetName val="ANSv2-692-CommData"/>
      <sheetName val="ANSv2-692-ProcData"/>
      <sheetName val="ANSv2-692-ConstrData"/>
      <sheetName val="ANSv2-692-ITEMS"/>
      <sheetName val="ANSv2-692-TS DATA"/>
      <sheetName val="ANSv2-692-TID DATA"/>
      <sheetName val="ANSv2-692-TS&amp;TID DATA"/>
      <sheetName val="ANSv2-692-TS TRADE"/>
      <sheetName val="ANSv2-692-TID TRADE"/>
      <sheetName val="ANSv2-692-TS&amp;TID TRADE"/>
      <sheetName val="ProcDataIRPMod"/>
      <sheetName val="ProcDataIRPLite"/>
    </sheetNames>
    <sheetDataSet>
      <sheetData sheetId="0"/>
      <sheetData sheetId="1"/>
      <sheetData sheetId="2"/>
      <sheetData sheetId="3"/>
      <sheetData sheetId="4"/>
      <sheetData sheetId="5">
        <row r="9">
          <cell r="B9" t="str">
            <v>ETCLECAMD-E</v>
          </cell>
          <cell r="M9">
            <v>7331.1230131582843</v>
          </cell>
          <cell r="AI9">
            <v>0.54057628389345658</v>
          </cell>
        </row>
        <row r="10">
          <cell r="B10" t="str">
            <v>ETCLEGROO-E</v>
          </cell>
          <cell r="M10">
            <v>7331.1230131582843</v>
          </cell>
          <cell r="AI10">
            <v>0.36712940349141077</v>
          </cell>
        </row>
        <row r="11">
          <cell r="B11" t="str">
            <v>ETCLEKOMA-E</v>
          </cell>
          <cell r="M11">
            <v>7331.1230131582843</v>
          </cell>
          <cell r="AI11">
            <v>0.33889487474984836</v>
          </cell>
        </row>
        <row r="12">
          <cell r="B12" t="str">
            <v>ETCLEARNO-E</v>
          </cell>
          <cell r="M12">
            <v>7331.1230131582843</v>
          </cell>
          <cell r="AI12">
            <v>0.52848608140566777</v>
          </cell>
        </row>
        <row r="13">
          <cell r="B13" t="str">
            <v>ETCLEDUVH-E</v>
          </cell>
          <cell r="M13">
            <v>7331.1230131582852</v>
          </cell>
          <cell r="AI13">
            <v>0.54867909068729692</v>
          </cell>
        </row>
        <row r="14">
          <cell r="B14" t="str">
            <v>ETCLEHEND-E</v>
          </cell>
          <cell r="M14">
            <v>7331.1230131582852</v>
          </cell>
          <cell r="AI14">
            <v>0.55528125327079092</v>
          </cell>
        </row>
        <row r="15">
          <cell r="B15" t="str">
            <v>ETCLEKEND-E</v>
          </cell>
          <cell r="M15">
            <v>7331.1230131582834</v>
          </cell>
          <cell r="AI15">
            <v>0.73846362585367176</v>
          </cell>
        </row>
        <row r="16">
          <cell r="B16" t="str">
            <v>ETCLEKRIE-E</v>
          </cell>
          <cell r="M16">
            <v>7331.1230131582852</v>
          </cell>
          <cell r="AI16">
            <v>0.51376874915870463</v>
          </cell>
        </row>
        <row r="17">
          <cell r="B17" t="str">
            <v>ETCLELETH-E</v>
          </cell>
          <cell r="M17">
            <v>7331.1230131582861</v>
          </cell>
          <cell r="AI17">
            <v>0.61567444212241962</v>
          </cell>
        </row>
        <row r="18">
          <cell r="B18" t="str">
            <v>ETCLEMAJD-E</v>
          </cell>
          <cell r="M18">
            <v>7331.1230131582843</v>
          </cell>
          <cell r="AI18">
            <v>0.69799220781606408</v>
          </cell>
        </row>
        <row r="19">
          <cell r="B19" t="str">
            <v>ETCLEMAJW-E</v>
          </cell>
          <cell r="M19">
            <v>7331.1230131582852</v>
          </cell>
          <cell r="AI19">
            <v>0.69799220781606408</v>
          </cell>
        </row>
        <row r="20">
          <cell r="B20" t="str">
            <v>ETCLEMATI-E</v>
          </cell>
          <cell r="M20">
            <v>7331.1230131582861</v>
          </cell>
          <cell r="AI20">
            <v>0.8086044021601132</v>
          </cell>
        </row>
        <row r="21">
          <cell r="B21" t="str">
            <v>ETCLEMATL-E</v>
          </cell>
          <cell r="M21">
            <v>7331.1230131582852</v>
          </cell>
          <cell r="AI21">
            <v>0.64632430581316469</v>
          </cell>
        </row>
        <row r="22">
          <cell r="B22" t="str">
            <v>ETCLETUTU-E</v>
          </cell>
          <cell r="M22">
            <v>7331.1230131582834</v>
          </cell>
          <cell r="AI22">
            <v>0.53757198695652908</v>
          </cell>
        </row>
        <row r="23">
          <cell r="B23" t="str">
            <v>ETCLEKELB-E</v>
          </cell>
          <cell r="M23">
            <v>7331.1230131582843</v>
          </cell>
          <cell r="AI23">
            <v>0.32478976407914761</v>
          </cell>
        </row>
        <row r="24">
          <cell r="B24" t="str">
            <v>ETCLEPFSS-E</v>
          </cell>
          <cell r="M24">
            <v>7331.1230131582843</v>
          </cell>
          <cell r="AI24">
            <v>0.73182243390231716</v>
          </cell>
        </row>
        <row r="25">
          <cell r="B25" t="str">
            <v>ETCLEPFSI-E</v>
          </cell>
          <cell r="M25">
            <v>7331.1230131582843</v>
          </cell>
          <cell r="AI25">
            <v>0.55688169145976019</v>
          </cell>
        </row>
        <row r="26">
          <cell r="B26" t="str">
            <v>ETODSGT-E</v>
          </cell>
          <cell r="M26">
            <v>1548.8372987289372</v>
          </cell>
          <cell r="AI26">
            <v>2.9606004647677766E-3</v>
          </cell>
        </row>
        <row r="27">
          <cell r="B27" t="str">
            <v>ERHYD-E</v>
          </cell>
          <cell r="M27">
            <v>4292.9627225713666</v>
          </cell>
          <cell r="AI27">
            <v>0.12001708037216328</v>
          </cell>
        </row>
        <row r="28">
          <cell r="B28" t="str">
            <v>ERHYD-I</v>
          </cell>
          <cell r="M28">
            <v>4292.9627225713657</v>
          </cell>
          <cell r="AI28">
            <v>0.6898696347031964</v>
          </cell>
        </row>
        <row r="29">
          <cell r="B29" t="str">
            <v>ETNUC-E</v>
          </cell>
          <cell r="M29">
            <v>13714.823558467177</v>
          </cell>
          <cell r="AI29">
            <v>0.92601880492954292</v>
          </cell>
        </row>
        <row r="30">
          <cell r="B30" t="str">
            <v>EPTSTO-E</v>
          </cell>
          <cell r="M30">
            <v>4230.6971717154183</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DD38754F-3F26-436A-B1CB-2BB5881EC097}" userId="144eb91ed0ec6402" providerId="Windows Live"/>
  <person displayName="Bruno Merven" id="{9BBCD8C7-64C4-418F-944E-A0019E53FBB7}" userId="S::01405439@wf.uct.ac.za::c7f06137-2c3b-4c5c-8f38-fe1abbc96860" providerId="AD"/>
  <person displayName="Brendon Verster" id="{ECCF406C-D702-4368-8148-FFD49448EA25}" userId="S::brendon@urban-econ.com::2b7779c5-a630-4d20-8603-2c1b7ac1246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23" dT="2021-06-15T16:00:35.48" personId="{ECCF406C-D702-4368-8148-FFD49448EA25}" id="{6EBAD7AA-BC0B-485E-A131-9CE7CF9C2547}">
    <text>I changed these components as the information I had pertained to offshore wind turbines. I did keep the information should it be of use (see cell AH98)</text>
  </threadedComment>
  <threadedComment ref="F139" dT="2021-06-15T12:13:53.21" personId="{ECCF406C-D702-4368-8148-FFD49448EA25}" id="{661494A7-DF3E-4F4E-8650-395617F3219D}">
    <text>Current cost</text>
  </threadedComment>
  <threadedComment ref="W148" dT="2021-06-15T15:55:03.61" personId="{ECCF406C-D702-4368-8148-FFD49448EA25}" id="{E6203300-7FD2-43D4-9D3E-FE5F9DC2F9C1}">
    <text>To obtain this, I summed the pitch assembly and hub assembly costs.</text>
  </threadedComment>
  <threadedComment ref="D159" dT="2021-06-15T15:54:09.67" personId="{ECCF406C-D702-4368-8148-FFD49448EA25}" id="{1630103D-995D-4FBD-A015-1C7A014660E4}">
    <text>To obtain these percetages, I derived the percentages of Table 26 of the source indicated in cell D190</text>
  </threadedComment>
  <threadedComment ref="D204" dT="2021-06-15T15:54:09.67" personId="{ECCF406C-D702-4368-8148-FFD49448EA25}" id="{D46D6D62-BAC7-4164-8789-C6EA3D41E60E}">
    <text>To obtain these percetages, I derived the percentages of Table 26 of the source indicated in cell D190</text>
  </threadedComment>
</ThreadedComments>
</file>

<file path=xl/threadedComments/threadedComment2.xml><?xml version="1.0" encoding="utf-8"?>
<ThreadedComments xmlns="http://schemas.microsoft.com/office/spreadsheetml/2018/threadedcomments" xmlns:x="http://schemas.openxmlformats.org/spreadsheetml/2006/main">
  <threadedComment ref="C6" dT="2023-11-20T10:17:32.01" personId="{9BBCD8C7-64C4-418F-944E-A0019E53FBB7}" id="{E578A017-B92C-446A-BE9B-0ABE581096B7}">
    <text>Need to update this!!!</text>
  </threadedComment>
  <threadedComment ref="C19" dT="2023-11-20T10:05:42.52" personId="{9BBCD8C7-64C4-418F-944E-A0019E53FBB7}" id="{C0E058AE-792C-40E1-8E07-26E23DD3FFE1}">
    <text>ETRANS = 33GW, ETRansDUM = 53GW, km = 33,000km.</text>
  </threadedComment>
</ThreadedComments>
</file>

<file path=xl/threadedComments/threadedComment3.xml><?xml version="1.0" encoding="utf-8"?>
<ThreadedComments xmlns="http://schemas.microsoft.com/office/spreadsheetml/2018/threadedcomments" xmlns:x="http://schemas.openxmlformats.org/spreadsheetml/2006/main">
  <threadedComment ref="E81" dT="2020-06-26T10:06:31.59" personId="{DD38754F-3F26-436A-B1CB-2BB5881EC097}" id="{A7B40221-3CFF-41CA-B8FA-EF3FED7A3889}">
    <text>based on cost of new plant</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dx.doi.org/10.5370/JEET.2015.10.4.1472" TargetMode="Externa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nrel.gov/docs/fy21osti/78471.pdf" TargetMode="External"/><Relationship Id="rId7" Type="http://schemas.openxmlformats.org/officeDocument/2006/relationships/printerSettings" Target="../printerSettings/printerSettings1.bin"/><Relationship Id="rId2" Type="http://schemas.openxmlformats.org/officeDocument/2006/relationships/hyperlink" Target="https://www.nrel.gov/docs/fy21osti/78471.pdf" TargetMode="External"/><Relationship Id="rId1" Type="http://schemas.openxmlformats.org/officeDocument/2006/relationships/hyperlink" Target="https://www.nrel.gov/docs/fy21osti/78471.pdf" TargetMode="External"/><Relationship Id="rId6" Type="http://schemas.openxmlformats.org/officeDocument/2006/relationships/hyperlink" Target="https://steelonline.co.za/product/reinforcing-y-bar-12mm/" TargetMode="External"/><Relationship Id="rId11" Type="http://schemas.microsoft.com/office/2017/10/relationships/threadedComment" Target="../threadedComments/threadedComment1.xml"/><Relationship Id="rId5" Type="http://schemas.openxmlformats.org/officeDocument/2006/relationships/hyperlink" Target="https://www.nrel.gov/docs/fy21osti/78471.pdf" TargetMode="External"/><Relationship Id="rId10" Type="http://schemas.openxmlformats.org/officeDocument/2006/relationships/comments" Target="../comments1.xml"/><Relationship Id="rId4" Type="http://schemas.openxmlformats.org/officeDocument/2006/relationships/hyperlink" Target="https://www.gri.com.es/en/noticia/gri-renewable-industries-inaugura-su-nueva-fabrica-de-torres-eolicas-en-sudafrica/" TargetMode="External"/><Relationship Id="rId9"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pvinsights.com/" TargetMode="External"/><Relationship Id="rId7" Type="http://schemas.openxmlformats.org/officeDocument/2006/relationships/hyperlink" Target="https://www.projectstoday.com/News/KEL-to-commission-power-transformer-manufacturing-plant" TargetMode="External"/><Relationship Id="rId2" Type="http://schemas.openxmlformats.org/officeDocument/2006/relationships/hyperlink" Target="https://www.nrel.gov/docs/fy19osti/73363.pdf" TargetMode="External"/><Relationship Id="rId1" Type="http://schemas.openxmlformats.org/officeDocument/2006/relationships/hyperlink" Target="https://renewablesnow.com/news/chinese-powerway-to-build-mounting-structure-factories-in-s-africa-174576/" TargetMode="External"/><Relationship Id="rId6" Type="http://schemas.openxmlformats.org/officeDocument/2006/relationships/hyperlink" Target="http://pvinsights.com/" TargetMode="External"/><Relationship Id="rId5" Type="http://schemas.openxmlformats.org/officeDocument/2006/relationships/hyperlink" Target="https://www.nrel.gov/docs/fy19osti/73363.pdf" TargetMode="External"/><Relationship Id="rId4" Type="http://schemas.openxmlformats.org/officeDocument/2006/relationships/hyperlink" Target="http://pvinsights.com/" TargetMode="External"/><Relationship Id="rId9"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nrel.gov/docs/fy21osti/77324.pdf"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 Id="rId4" Type="http://schemas.microsoft.com/office/2017/10/relationships/threadedComment" Target="../threadedComments/threadedComment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energy.gov.za/files/IEP/2016/IEP-AnnexureB-Macroeconomic-Assumptions.pdf" TargetMode="External"/><Relationship Id="rId1" Type="http://schemas.openxmlformats.org/officeDocument/2006/relationships/hyperlink" Target="http://www.eskom.co.za/Whatweredoing/ElectricityGeneration/KoebergNuclearPowerStation/TheKoebergExperience/Pages/The_Koeberg_Experience.aspx"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B02DE-4ACF-4793-B222-F2989A694857}">
  <sheetPr>
    <tabColor theme="7"/>
  </sheetPr>
  <dimension ref="C1:R26"/>
  <sheetViews>
    <sheetView workbookViewId="0"/>
  </sheetViews>
  <sheetFormatPr defaultRowHeight="12.75" x14ac:dyDescent="0.2"/>
  <cols>
    <col min="1" max="2" width="9.140625" style="409"/>
    <col min="3" max="3" width="31.5703125" style="409" customWidth="1"/>
    <col min="4" max="4" width="9.140625" style="409"/>
    <col min="5" max="5" width="26.28515625" style="409" customWidth="1"/>
    <col min="6" max="10" width="9.140625" style="409"/>
    <col min="11" max="12" width="10.28515625" style="409" bestFit="1" customWidth="1"/>
    <col min="13" max="13" width="11.28515625" style="409" bestFit="1" customWidth="1"/>
    <col min="14" max="16384" width="9.140625" style="409"/>
  </cols>
  <sheetData>
    <row r="1" spans="3:18" x14ac:dyDescent="0.2">
      <c r="C1" s="408" t="s">
        <v>1170</v>
      </c>
    </row>
    <row r="2" spans="3:18" x14ac:dyDescent="0.2">
      <c r="C2" s="408" t="s">
        <v>1171</v>
      </c>
    </row>
    <row r="4" spans="3:18" x14ac:dyDescent="0.2">
      <c r="C4" s="409" t="s">
        <v>1172</v>
      </c>
    </row>
    <row r="5" spans="3:18" ht="15.75" x14ac:dyDescent="0.25">
      <c r="C5" s="410" t="s">
        <v>1173</v>
      </c>
      <c r="D5" s="408"/>
      <c r="H5" s="411" t="s">
        <v>1174</v>
      </c>
    </row>
    <row r="6" spans="3:18" x14ac:dyDescent="0.2">
      <c r="C6" s="409" t="s">
        <v>1175</v>
      </c>
      <c r="D6" s="409" t="s">
        <v>1176</v>
      </c>
    </row>
    <row r="8" spans="3:18" x14ac:dyDescent="0.2">
      <c r="C8" s="412" t="s">
        <v>1177</v>
      </c>
      <c r="D8" s="462" t="s">
        <v>1178</v>
      </c>
      <c r="E8" s="462"/>
      <c r="P8" s="408">
        <v>650</v>
      </c>
      <c r="Q8" s="408" t="s">
        <v>181</v>
      </c>
    </row>
    <row r="9" spans="3:18" ht="25.5" x14ac:dyDescent="0.2">
      <c r="C9" s="413" t="s">
        <v>1179</v>
      </c>
      <c r="D9" s="414"/>
      <c r="E9" s="415">
        <v>49126</v>
      </c>
      <c r="G9" s="409" t="str">
        <f>G22</f>
        <v>ccons_e</v>
      </c>
    </row>
    <row r="10" spans="3:18" ht="25.5" x14ac:dyDescent="0.2">
      <c r="C10" s="413" t="s">
        <v>1180</v>
      </c>
      <c r="D10" s="416"/>
      <c r="E10" s="417">
        <v>324043</v>
      </c>
      <c r="G10" s="409" t="str">
        <f>G23</f>
        <v>cmach_e</v>
      </c>
      <c r="N10" s="409" t="s">
        <v>1179</v>
      </c>
      <c r="P10" s="409">
        <v>247250</v>
      </c>
      <c r="R10" s="409" t="str">
        <f>R22</f>
        <v>ccons_e</v>
      </c>
    </row>
    <row r="11" spans="3:18" ht="25.5" x14ac:dyDescent="0.2">
      <c r="C11" s="413" t="s">
        <v>1181</v>
      </c>
      <c r="D11" s="414"/>
      <c r="E11" s="415">
        <v>43753</v>
      </c>
      <c r="G11" s="409" t="str">
        <f>G24</f>
        <v>cemch_e</v>
      </c>
      <c r="N11" s="409" t="s">
        <v>1180</v>
      </c>
      <c r="P11" s="409">
        <v>991831</v>
      </c>
      <c r="R11" s="409" t="str">
        <f>R23</f>
        <v>cmach_e</v>
      </c>
    </row>
    <row r="12" spans="3:18" x14ac:dyDescent="0.2">
      <c r="C12" s="413" t="s">
        <v>1182</v>
      </c>
      <c r="D12" s="414"/>
      <c r="E12" s="415">
        <v>99220</v>
      </c>
      <c r="G12" s="409" t="str">
        <f>G26</f>
        <v>cbsrv</v>
      </c>
      <c r="N12" s="409" t="s">
        <v>1181</v>
      </c>
      <c r="P12" s="409">
        <v>141900</v>
      </c>
      <c r="R12" s="409" t="str">
        <f>R24</f>
        <v>cemch_e</v>
      </c>
    </row>
    <row r="13" spans="3:18" ht="25.5" x14ac:dyDescent="0.2">
      <c r="C13" s="418" t="s">
        <v>1183</v>
      </c>
      <c r="D13" s="419"/>
      <c r="E13" s="420">
        <v>516142</v>
      </c>
      <c r="N13" s="409" t="s">
        <v>1182</v>
      </c>
      <c r="P13" s="409">
        <v>393350</v>
      </c>
      <c r="R13" s="409" t="str">
        <f>R26</f>
        <v>cbsrv</v>
      </c>
    </row>
    <row r="14" spans="3:18" x14ac:dyDescent="0.2">
      <c r="C14" s="418" t="s">
        <v>1184</v>
      </c>
      <c r="D14" s="419"/>
      <c r="E14" s="421">
        <v>55743</v>
      </c>
      <c r="N14" s="409" t="s">
        <v>1183</v>
      </c>
      <c r="P14" s="409">
        <v>1774331</v>
      </c>
    </row>
    <row r="15" spans="3:18" x14ac:dyDescent="0.2">
      <c r="C15" s="418" t="s">
        <v>1185</v>
      </c>
      <c r="D15" s="419"/>
      <c r="E15" s="422">
        <v>571885</v>
      </c>
      <c r="N15" s="409" t="s">
        <v>1184</v>
      </c>
      <c r="P15" s="409">
        <v>195176</v>
      </c>
      <c r="R15" s="409" t="str">
        <f>R26</f>
        <v>cbsrv</v>
      </c>
    </row>
    <row r="16" spans="3:18" ht="25.5" x14ac:dyDescent="0.2">
      <c r="C16" s="423" t="s">
        <v>1186</v>
      </c>
      <c r="D16" s="419"/>
      <c r="E16" s="422">
        <v>114377</v>
      </c>
      <c r="G16" s="409" t="str">
        <f>G22</f>
        <v>ccons_e</v>
      </c>
      <c r="N16" s="409" t="s">
        <v>1185</v>
      </c>
      <c r="P16" s="409">
        <v>1969507</v>
      </c>
    </row>
    <row r="17" spans="3:18" ht="25.5" x14ac:dyDescent="0.2">
      <c r="C17" s="423" t="s">
        <v>1187</v>
      </c>
      <c r="D17" s="419"/>
      <c r="E17" s="422">
        <v>686262</v>
      </c>
      <c r="N17" s="409" t="s">
        <v>1186</v>
      </c>
      <c r="P17" s="409">
        <v>393901</v>
      </c>
      <c r="R17" s="409" t="str">
        <f>R22</f>
        <v>ccons_e</v>
      </c>
    </row>
    <row r="18" spans="3:18" x14ac:dyDescent="0.2">
      <c r="C18" s="423" t="s">
        <v>1185</v>
      </c>
      <c r="D18" s="424" t="s">
        <v>1188</v>
      </c>
      <c r="E18" s="425">
        <v>815</v>
      </c>
      <c r="N18" s="409" t="s">
        <v>1187</v>
      </c>
      <c r="P18" s="409">
        <v>2363408</v>
      </c>
    </row>
    <row r="19" spans="3:18" ht="25.5" x14ac:dyDescent="0.2">
      <c r="C19" s="423" t="s">
        <v>1189</v>
      </c>
      <c r="D19" s="424" t="s">
        <v>1188</v>
      </c>
      <c r="E19" s="425">
        <v>163</v>
      </c>
      <c r="N19" s="409" t="s">
        <v>1185</v>
      </c>
      <c r="P19" s="409">
        <v>3030</v>
      </c>
    </row>
    <row r="20" spans="3:18" ht="25.5" x14ac:dyDescent="0.2">
      <c r="C20" s="423" t="s">
        <v>1190</v>
      </c>
      <c r="D20" s="424" t="s">
        <v>1188</v>
      </c>
      <c r="E20" s="425">
        <v>978</v>
      </c>
      <c r="N20" s="409" t="s">
        <v>1189</v>
      </c>
      <c r="P20" s="409">
        <v>606</v>
      </c>
    </row>
    <row r="21" spans="3:18" x14ac:dyDescent="0.2">
      <c r="N21" s="409" t="s">
        <v>1190</v>
      </c>
      <c r="P21" s="409">
        <v>3636</v>
      </c>
    </row>
    <row r="22" spans="3:18" x14ac:dyDescent="0.2">
      <c r="E22" s="426">
        <f>SUMIF($G$9:$G$20,G22,$E$9:$E$20)/$E$17</f>
        <v>0.23825157155721868</v>
      </c>
      <c r="G22" s="409" t="s">
        <v>513</v>
      </c>
      <c r="P22" s="426">
        <f>SUMIF($R$10:$R$21,R22,$P$10:$P$21)/$P$18</f>
        <v>0.27128240236133583</v>
      </c>
      <c r="R22" s="409" t="s">
        <v>513</v>
      </c>
    </row>
    <row r="23" spans="3:18" x14ac:dyDescent="0.2">
      <c r="E23" s="426">
        <f>SUMIF($G$9:$G$20,G23,$E$9:$E$20)/$E$17</f>
        <v>0.47218555012517083</v>
      </c>
      <c r="G23" s="409" t="s">
        <v>514</v>
      </c>
      <c r="P23" s="426">
        <f>SUMIF($R$10:$R$21,R23,$P$10:$P$21)/$P$18</f>
        <v>0.41966135343537808</v>
      </c>
      <c r="R23" s="409" t="s">
        <v>514</v>
      </c>
    </row>
    <row r="24" spans="3:18" x14ac:dyDescent="0.2">
      <c r="E24" s="426">
        <f>SUMIF($G$9:$G$20,G24,$E$9:$E$20)/$E$17</f>
        <v>6.3755533600869635E-2</v>
      </c>
      <c r="G24" s="409" t="s">
        <v>515</v>
      </c>
      <c r="P24" s="426">
        <f>SUMIF($R$10:$R$21,R24,$P$10:$P$21)/$P$18</f>
        <v>6.0040416212520223E-2</v>
      </c>
      <c r="R24" s="409" t="s">
        <v>515</v>
      </c>
    </row>
    <row r="25" spans="3:18" x14ac:dyDescent="0.2">
      <c r="E25" s="426">
        <f>SUMIF($G$9:$G$20,G25,$E$9:$E$20)/$E$17</f>
        <v>0</v>
      </c>
      <c r="G25" s="409" t="s">
        <v>276</v>
      </c>
      <c r="P25" s="426">
        <f>SUMIF($R$10:$R$21,R25,$P$10:$P$21)/$P$18</f>
        <v>0</v>
      </c>
      <c r="R25" s="409" t="s">
        <v>276</v>
      </c>
    </row>
    <row r="26" spans="3:18" x14ac:dyDescent="0.2">
      <c r="E26" s="426">
        <f>SUMIF($G$9:$G$20,G26,$E$9:$E$20)/$E$17</f>
        <v>0.1445803497789474</v>
      </c>
      <c r="G26" s="409" t="s">
        <v>256</v>
      </c>
      <c r="P26" s="426">
        <f>SUMIF($R$10:$R$21,R26,$P$10:$P$21)/$P$18</f>
        <v>0.24901582799076588</v>
      </c>
      <c r="R26" s="409" t="s">
        <v>256</v>
      </c>
    </row>
  </sheetData>
  <mergeCells count="1">
    <mergeCell ref="D8:E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7385E-67FD-4A4A-B54F-DBFCC3DB61A2}">
  <sheetPr>
    <tabColor theme="7"/>
  </sheetPr>
  <dimension ref="B3:Q62"/>
  <sheetViews>
    <sheetView workbookViewId="0"/>
  </sheetViews>
  <sheetFormatPr defaultRowHeight="12.75" x14ac:dyDescent="0.2"/>
  <sheetData>
    <row r="3" spans="2:17" ht="15.75" x14ac:dyDescent="0.25">
      <c r="B3" s="410" t="s">
        <v>1191</v>
      </c>
      <c r="C3" s="409"/>
      <c r="D3" s="409"/>
      <c r="E3" s="409"/>
      <c r="F3" s="409"/>
      <c r="G3" s="409"/>
      <c r="H3" s="409"/>
      <c r="I3" s="409"/>
      <c r="J3" s="409"/>
      <c r="K3" s="409"/>
      <c r="L3" s="409"/>
      <c r="M3" s="409"/>
      <c r="N3" s="409"/>
      <c r="O3" s="409"/>
      <c r="P3" s="409"/>
      <c r="Q3" s="409"/>
    </row>
    <row r="4" spans="2:17" x14ac:dyDescent="0.2">
      <c r="B4" s="409"/>
      <c r="C4" s="409" t="s">
        <v>1192</v>
      </c>
      <c r="D4" s="409"/>
      <c r="E4" s="409"/>
      <c r="F4" s="409"/>
      <c r="G4" s="409"/>
      <c r="H4" s="409"/>
      <c r="I4" s="409"/>
      <c r="J4" s="409"/>
      <c r="K4" s="409"/>
      <c r="L4" s="409"/>
      <c r="M4" s="409"/>
      <c r="N4" s="409"/>
      <c r="O4" s="409"/>
      <c r="P4" s="409"/>
      <c r="Q4" s="409"/>
    </row>
    <row r="5" spans="2:17" x14ac:dyDescent="0.2">
      <c r="B5" s="409"/>
      <c r="C5" s="446" t="s">
        <v>1193</v>
      </c>
      <c r="D5" s="409"/>
      <c r="E5" s="409"/>
      <c r="F5" s="409"/>
      <c r="G5" s="409"/>
      <c r="H5" s="409"/>
      <c r="I5" s="409"/>
      <c r="J5" s="409"/>
      <c r="K5" s="409"/>
      <c r="L5" s="409"/>
      <c r="M5" s="409"/>
      <c r="N5" s="409"/>
      <c r="O5" s="409"/>
      <c r="P5" s="409"/>
      <c r="Q5" s="409"/>
    </row>
    <row r="6" spans="2:17" x14ac:dyDescent="0.2">
      <c r="B6" s="408" t="s">
        <v>1194</v>
      </c>
      <c r="C6" s="408" t="s">
        <v>1195</v>
      </c>
      <c r="D6" s="409"/>
      <c r="E6" s="409"/>
      <c r="F6" s="409"/>
      <c r="G6" s="409"/>
      <c r="H6" s="409"/>
      <c r="I6" s="409"/>
      <c r="J6" s="409"/>
      <c r="K6" s="408" t="s">
        <v>1196</v>
      </c>
      <c r="L6" s="409"/>
      <c r="M6" s="409"/>
      <c r="N6" s="409"/>
      <c r="O6" s="409"/>
      <c r="P6" s="409"/>
      <c r="Q6" s="409"/>
    </row>
    <row r="7" spans="2:17" x14ac:dyDescent="0.2">
      <c r="B7" s="409"/>
      <c r="C7" s="409"/>
      <c r="D7" s="409" t="s">
        <v>1197</v>
      </c>
      <c r="E7" s="409" t="s">
        <v>1198</v>
      </c>
      <c r="F7" s="409" t="s">
        <v>1199</v>
      </c>
      <c r="G7" s="409"/>
      <c r="H7" s="409" t="s">
        <v>1200</v>
      </c>
      <c r="I7" s="409"/>
      <c r="J7" s="409"/>
      <c r="K7" s="409" t="s">
        <v>1197</v>
      </c>
      <c r="L7" s="409" t="s">
        <v>1198</v>
      </c>
      <c r="M7" s="409" t="s">
        <v>1199</v>
      </c>
      <c r="N7" s="409"/>
      <c r="O7" s="409"/>
      <c r="P7" s="409"/>
      <c r="Q7" s="409"/>
    </row>
    <row r="8" spans="2:17" x14ac:dyDescent="0.2">
      <c r="B8" s="409"/>
      <c r="C8" s="463" t="s">
        <v>1201</v>
      </c>
      <c r="D8" s="463"/>
      <c r="E8" s="463"/>
      <c r="F8" s="463"/>
      <c r="G8" s="463"/>
      <c r="H8" s="409"/>
      <c r="I8" s="409"/>
      <c r="J8" s="409"/>
      <c r="K8" s="409" t="s">
        <v>1202</v>
      </c>
      <c r="L8" s="409"/>
      <c r="M8" s="409"/>
      <c r="N8" s="409"/>
      <c r="O8" s="409"/>
      <c r="P8" s="409"/>
      <c r="Q8" s="409" t="s">
        <v>1203</v>
      </c>
    </row>
    <row r="9" spans="2:17" x14ac:dyDescent="0.2">
      <c r="B9" s="409"/>
      <c r="C9" s="448" t="s">
        <v>1204</v>
      </c>
      <c r="D9" s="427">
        <v>155128</v>
      </c>
      <c r="E9" s="427">
        <v>535210</v>
      </c>
      <c r="F9" s="428">
        <v>915294</v>
      </c>
      <c r="G9" s="449" t="str">
        <f>G10</f>
        <v>ccons_e</v>
      </c>
      <c r="H9" s="409"/>
      <c r="I9" s="409"/>
      <c r="J9" s="409"/>
      <c r="K9" s="450">
        <f t="shared" ref="K9:M16" si="0">D9*$H$11</f>
        <v>3040.3481329531633</v>
      </c>
      <c r="L9" s="450">
        <f t="shared" si="0"/>
        <v>10489.561679631417</v>
      </c>
      <c r="M9" s="450">
        <f t="shared" si="0"/>
        <v>17938.814424238259</v>
      </c>
      <c r="N9" s="409"/>
      <c r="O9" s="409"/>
      <c r="P9" s="409"/>
      <c r="Q9" s="409" t="s">
        <v>1205</v>
      </c>
    </row>
    <row r="10" spans="2:17" x14ac:dyDescent="0.2">
      <c r="B10" s="409"/>
      <c r="C10" s="451" t="s">
        <v>1206</v>
      </c>
      <c r="D10" s="427">
        <v>1249964</v>
      </c>
      <c r="E10" s="427">
        <v>3856246</v>
      </c>
      <c r="F10" s="428">
        <v>6462529</v>
      </c>
      <c r="G10" s="449" t="str">
        <f>G27</f>
        <v>ccons_e</v>
      </c>
      <c r="H10" s="409"/>
      <c r="I10" s="409"/>
      <c r="J10" s="409"/>
      <c r="K10" s="450">
        <f t="shared" si="0"/>
        <v>24497.999804410989</v>
      </c>
      <c r="L10" s="450">
        <f t="shared" si="0"/>
        <v>75578.427661725189</v>
      </c>
      <c r="M10" s="450">
        <f t="shared" si="0"/>
        <v>126658.87511800368</v>
      </c>
      <c r="N10" s="409"/>
      <c r="O10" s="409"/>
      <c r="P10" s="409"/>
      <c r="Q10" s="409" t="s">
        <v>550</v>
      </c>
    </row>
    <row r="11" spans="2:17" x14ac:dyDescent="0.2">
      <c r="B11" s="409"/>
      <c r="C11" s="451" t="s">
        <v>1207</v>
      </c>
      <c r="D11" s="427">
        <v>533627</v>
      </c>
      <c r="E11" s="427">
        <v>1261048</v>
      </c>
      <c r="F11" s="428">
        <v>1988470</v>
      </c>
      <c r="G11" s="449" t="str">
        <f>G30</f>
        <v>cmetp</v>
      </c>
      <c r="H11" s="409">
        <f>H13/H12</f>
        <v>1.9598964293700449E-2</v>
      </c>
      <c r="I11" s="409" t="s">
        <v>1208</v>
      </c>
      <c r="J11" s="409"/>
      <c r="K11" s="450">
        <f t="shared" si="0"/>
        <v>10458.53651915449</v>
      </c>
      <c r="L11" s="450">
        <f t="shared" si="0"/>
        <v>24715.234724642363</v>
      </c>
      <c r="M11" s="450">
        <f t="shared" si="0"/>
        <v>38971.952529094531</v>
      </c>
      <c r="N11" s="409"/>
      <c r="O11" s="409"/>
      <c r="P11" s="409"/>
      <c r="Q11" s="409" t="s">
        <v>1209</v>
      </c>
    </row>
    <row r="12" spans="2:17" x14ac:dyDescent="0.2">
      <c r="B12" s="409"/>
      <c r="C12" s="451" t="s">
        <v>1210</v>
      </c>
      <c r="D12" s="427">
        <v>30548</v>
      </c>
      <c r="E12" s="427">
        <v>164409</v>
      </c>
      <c r="F12" s="428">
        <v>298270</v>
      </c>
      <c r="G12" s="449" t="str">
        <f>G30</f>
        <v>cmetp</v>
      </c>
      <c r="H12" s="429">
        <v>63</v>
      </c>
      <c r="I12" s="409" t="s">
        <v>1211</v>
      </c>
      <c r="J12" s="409"/>
      <c r="K12" s="450">
        <f t="shared" si="0"/>
        <v>598.70916124396138</v>
      </c>
      <c r="L12" s="450">
        <f t="shared" si="0"/>
        <v>3222.246120562997</v>
      </c>
      <c r="M12" s="450">
        <f t="shared" si="0"/>
        <v>5845.7830798820332</v>
      </c>
      <c r="N12" s="409"/>
      <c r="O12" s="409"/>
      <c r="P12" s="409"/>
      <c r="Q12" s="409" t="s">
        <v>1212</v>
      </c>
    </row>
    <row r="13" spans="2:17" ht="15" x14ac:dyDescent="0.25">
      <c r="B13" s="409"/>
      <c r="C13" s="452" t="s">
        <v>1213</v>
      </c>
      <c r="D13" s="427">
        <v>175642</v>
      </c>
      <c r="E13" s="427">
        <v>684361</v>
      </c>
      <c r="F13" s="428">
        <v>1193082</v>
      </c>
      <c r="G13" s="449" t="str">
        <f>G29</f>
        <v>cemch_e</v>
      </c>
      <c r="H13" s="453">
        <v>1.2347347505031283</v>
      </c>
      <c r="I13" s="409" t="s">
        <v>1214</v>
      </c>
      <c r="J13" s="409"/>
      <c r="K13" s="450">
        <f t="shared" si="0"/>
        <v>3442.4012864741344</v>
      </c>
      <c r="L13" s="450">
        <f t="shared" si="0"/>
        <v>13412.766803001134</v>
      </c>
      <c r="M13" s="450">
        <f t="shared" si="0"/>
        <v>23383.171517456718</v>
      </c>
      <c r="N13" s="409"/>
      <c r="O13" s="409"/>
      <c r="P13" s="409"/>
      <c r="Q13" s="409" t="s">
        <v>1215</v>
      </c>
    </row>
    <row r="14" spans="2:17" x14ac:dyDescent="0.2">
      <c r="B14" s="409"/>
      <c r="C14" s="452" t="s">
        <v>1050</v>
      </c>
      <c r="D14" s="427">
        <v>208643</v>
      </c>
      <c r="E14" s="427">
        <v>692556</v>
      </c>
      <c r="F14" s="428">
        <v>1176470</v>
      </c>
      <c r="G14" s="449" t="str">
        <f>G27</f>
        <v>ccons_e</v>
      </c>
      <c r="H14" s="409"/>
      <c r="I14" s="409"/>
      <c r="J14" s="409"/>
      <c r="K14" s="450">
        <f t="shared" si="0"/>
        <v>4089.1867071305428</v>
      </c>
      <c r="L14" s="450">
        <f t="shared" si="0"/>
        <v>13573.380315388009</v>
      </c>
      <c r="M14" s="450">
        <f t="shared" si="0"/>
        <v>23057.593522609768</v>
      </c>
      <c r="N14" s="409"/>
      <c r="O14" s="409"/>
      <c r="P14" s="409"/>
      <c r="Q14" s="409" t="s">
        <v>1216</v>
      </c>
    </row>
    <row r="15" spans="2:17" x14ac:dyDescent="0.2">
      <c r="B15" s="409"/>
      <c r="C15" s="448" t="s">
        <v>1217</v>
      </c>
      <c r="D15" s="427">
        <v>94142</v>
      </c>
      <c r="E15" s="427">
        <v>287753</v>
      </c>
      <c r="F15" s="428">
        <v>481364</v>
      </c>
      <c r="G15" s="449" t="str">
        <f>G14</f>
        <v>ccons_e</v>
      </c>
      <c r="H15" s="409"/>
      <c r="I15" s="409"/>
      <c r="J15" s="409"/>
      <c r="K15" s="450">
        <f t="shared" si="0"/>
        <v>1845.0856965375476</v>
      </c>
      <c r="L15" s="450">
        <f t="shared" si="0"/>
        <v>5639.6607724051855</v>
      </c>
      <c r="M15" s="450">
        <f t="shared" si="0"/>
        <v>9434.2358482728232</v>
      </c>
      <c r="N15" s="409"/>
      <c r="O15" s="409"/>
      <c r="P15" s="409"/>
      <c r="Q15" s="409" t="s">
        <v>1218</v>
      </c>
    </row>
    <row r="16" spans="2:17" x14ac:dyDescent="0.2">
      <c r="B16" s="409"/>
      <c r="C16" s="452" t="s">
        <v>1164</v>
      </c>
      <c r="D16" s="427">
        <v>253007</v>
      </c>
      <c r="E16" s="427">
        <v>792750</v>
      </c>
      <c r="F16" s="428">
        <v>1332494</v>
      </c>
      <c r="G16" s="449" t="str">
        <f>G31</f>
        <v>cbsrv</v>
      </c>
      <c r="H16" s="409"/>
      <c r="I16" s="409"/>
      <c r="J16" s="409"/>
      <c r="K16" s="450">
        <f t="shared" si="0"/>
        <v>4958.6751590562699</v>
      </c>
      <c r="L16" s="450">
        <f t="shared" si="0"/>
        <v>15537.078943831031</v>
      </c>
      <c r="M16" s="450">
        <f t="shared" si="0"/>
        <v>26115.502327570088</v>
      </c>
      <c r="N16" s="409"/>
      <c r="O16" s="409"/>
      <c r="P16" s="409"/>
      <c r="Q16" s="409" t="s">
        <v>1219</v>
      </c>
    </row>
    <row r="17" spans="2:17" x14ac:dyDescent="0.2">
      <c r="B17" s="409"/>
      <c r="C17" s="447" t="s">
        <v>1220</v>
      </c>
      <c r="D17" s="447"/>
      <c r="E17" s="447"/>
      <c r="F17" s="447"/>
      <c r="G17" s="447"/>
      <c r="H17" s="409"/>
      <c r="I17" s="409"/>
      <c r="J17" s="409"/>
      <c r="K17" s="409"/>
      <c r="L17" s="409"/>
      <c r="M17" s="409"/>
      <c r="N17" s="409"/>
      <c r="O17" s="409"/>
      <c r="P17" s="409"/>
      <c r="Q17" s="409" t="s">
        <v>1221</v>
      </c>
    </row>
    <row r="18" spans="2:17" x14ac:dyDescent="0.2">
      <c r="B18" s="409"/>
      <c r="C18" s="448" t="s">
        <v>1204</v>
      </c>
      <c r="D18" s="427">
        <v>3102540</v>
      </c>
      <c r="E18" s="427">
        <v>3723048</v>
      </c>
      <c r="F18" s="428">
        <v>4343556</v>
      </c>
      <c r="G18" s="449"/>
      <c r="H18" s="409"/>
      <c r="I18" s="409"/>
      <c r="J18" s="409"/>
      <c r="K18" s="409"/>
      <c r="L18" s="409"/>
      <c r="M18" s="409"/>
      <c r="N18" s="409"/>
      <c r="O18" s="409"/>
      <c r="P18" s="409"/>
      <c r="Q18" s="409" t="s">
        <v>539</v>
      </c>
    </row>
    <row r="19" spans="2:17" x14ac:dyDescent="0.2">
      <c r="B19" s="409"/>
      <c r="C19" s="448" t="s">
        <v>1222</v>
      </c>
      <c r="D19" s="427">
        <v>5999822</v>
      </c>
      <c r="E19" s="427">
        <v>7199786</v>
      </c>
      <c r="F19" s="428">
        <v>8399750</v>
      </c>
      <c r="G19" s="449"/>
      <c r="H19" s="409"/>
      <c r="I19" s="409"/>
      <c r="J19" s="409"/>
      <c r="K19" s="409"/>
      <c r="L19" s="409"/>
      <c r="M19" s="409"/>
      <c r="N19" s="409"/>
      <c r="O19" s="409"/>
      <c r="P19" s="409"/>
      <c r="Q19" s="409"/>
    </row>
    <row r="20" spans="2:17" x14ac:dyDescent="0.2">
      <c r="B20" s="409"/>
      <c r="C20" s="452" t="s">
        <v>1223</v>
      </c>
      <c r="D20" s="427">
        <v>6403524</v>
      </c>
      <c r="E20" s="427">
        <v>8324581</v>
      </c>
      <c r="F20" s="428">
        <v>10245638</v>
      </c>
      <c r="G20" s="449"/>
      <c r="H20" s="409"/>
      <c r="I20" s="409"/>
      <c r="J20" s="409"/>
      <c r="K20" s="409"/>
      <c r="L20" s="409"/>
      <c r="M20" s="409"/>
      <c r="N20" s="409"/>
      <c r="O20" s="409"/>
      <c r="P20" s="409"/>
      <c r="Q20" s="409"/>
    </row>
    <row r="21" spans="2:17" x14ac:dyDescent="0.2">
      <c r="B21" s="409"/>
      <c r="C21" s="451" t="s">
        <v>1224</v>
      </c>
      <c r="D21" s="427">
        <v>366576</v>
      </c>
      <c r="E21" s="427">
        <v>439891</v>
      </c>
      <c r="F21" s="428">
        <v>513206</v>
      </c>
      <c r="G21" s="449"/>
      <c r="H21" s="409"/>
      <c r="I21" s="409"/>
      <c r="J21" s="409"/>
      <c r="K21" s="409"/>
      <c r="L21" s="409"/>
      <c r="M21" s="409"/>
      <c r="N21" s="409"/>
      <c r="O21" s="409"/>
      <c r="P21" s="409"/>
      <c r="Q21" s="409"/>
    </row>
    <row r="22" spans="2:17" x14ac:dyDescent="0.2">
      <c r="B22" s="409"/>
      <c r="C22" s="452" t="s">
        <v>1213</v>
      </c>
      <c r="D22" s="427">
        <v>878205</v>
      </c>
      <c r="E22" s="427">
        <v>1053846</v>
      </c>
      <c r="F22" s="428">
        <v>1229487</v>
      </c>
      <c r="G22" s="449"/>
      <c r="H22" s="409"/>
      <c r="I22" s="409"/>
      <c r="J22" s="409"/>
      <c r="K22" s="409"/>
      <c r="L22" s="409"/>
      <c r="M22" s="409"/>
      <c r="N22" s="409"/>
      <c r="O22" s="409"/>
      <c r="P22" s="409"/>
      <c r="Q22" s="409"/>
    </row>
    <row r="23" spans="2:17" x14ac:dyDescent="0.2">
      <c r="B23" s="409"/>
      <c r="C23" s="452" t="s">
        <v>1050</v>
      </c>
      <c r="D23" s="427">
        <v>417286</v>
      </c>
      <c r="E23" s="427">
        <v>500743</v>
      </c>
      <c r="F23" s="428">
        <v>584200</v>
      </c>
      <c r="G23" s="449"/>
      <c r="H23" s="409"/>
      <c r="I23" s="409"/>
      <c r="J23" s="409"/>
      <c r="K23" s="409"/>
      <c r="L23" s="409"/>
      <c r="M23" s="409"/>
      <c r="N23" s="409"/>
      <c r="O23" s="409"/>
      <c r="P23" s="409"/>
      <c r="Q23" s="409"/>
    </row>
    <row r="24" spans="2:17" x14ac:dyDescent="0.2">
      <c r="B24" s="409"/>
      <c r="C24" s="448" t="s">
        <v>1217</v>
      </c>
      <c r="D24" s="427">
        <v>686718</v>
      </c>
      <c r="E24" s="427">
        <v>849675</v>
      </c>
      <c r="F24" s="428">
        <v>1012633</v>
      </c>
      <c r="G24" s="449"/>
      <c r="H24" s="409"/>
      <c r="I24" s="409"/>
      <c r="J24" s="409"/>
      <c r="K24" s="409"/>
      <c r="L24" s="409"/>
      <c r="M24" s="409"/>
      <c r="N24" s="409"/>
      <c r="O24" s="409"/>
      <c r="P24" s="409"/>
      <c r="Q24" s="409"/>
    </row>
    <row r="25" spans="2:17" x14ac:dyDescent="0.2">
      <c r="B25" s="409"/>
      <c r="C25" s="452" t="s">
        <v>1164</v>
      </c>
      <c r="D25" s="427">
        <v>1888474</v>
      </c>
      <c r="E25" s="427">
        <v>2266168</v>
      </c>
      <c r="F25" s="428">
        <v>2643863</v>
      </c>
      <c r="G25" s="449"/>
      <c r="H25" s="409"/>
      <c r="I25" s="409"/>
      <c r="J25" s="409"/>
      <c r="K25" s="409"/>
      <c r="L25" s="409"/>
      <c r="M25" s="409"/>
      <c r="N25" s="409"/>
      <c r="O25" s="409"/>
      <c r="P25" s="409"/>
      <c r="Q25" s="409"/>
    </row>
    <row r="26" spans="2:17" x14ac:dyDescent="0.2">
      <c r="B26" s="409"/>
      <c r="C26" s="409"/>
      <c r="D26" s="409"/>
      <c r="E26" s="409"/>
      <c r="F26" s="454">
        <f>SUM(F9:F16)</f>
        <v>13847973</v>
      </c>
      <c r="G26" s="409"/>
      <c r="H26" s="409"/>
      <c r="I26" s="409"/>
      <c r="J26" s="409"/>
      <c r="K26" s="409"/>
      <c r="L26" s="409"/>
      <c r="M26" s="409"/>
      <c r="N26" s="409"/>
      <c r="O26" s="409"/>
      <c r="P26" s="409"/>
      <c r="Q26" s="409"/>
    </row>
    <row r="27" spans="2:17" x14ac:dyDescent="0.2">
      <c r="B27" s="409"/>
      <c r="C27" s="409"/>
      <c r="D27" s="409"/>
      <c r="E27" s="409"/>
      <c r="F27" s="455">
        <f>SUMIF($G$9:$G$16,G27,$F$9:$F$16)/$F$26</f>
        <v>0.6524895015321015</v>
      </c>
      <c r="G27" s="409" t="s">
        <v>513</v>
      </c>
      <c r="H27" s="409"/>
      <c r="I27" s="409"/>
      <c r="J27" s="409"/>
      <c r="K27" s="409"/>
      <c r="L27" s="409"/>
      <c r="M27" s="409"/>
      <c r="N27" s="409"/>
      <c r="O27" s="409"/>
      <c r="P27" s="409"/>
      <c r="Q27" s="409"/>
    </row>
    <row r="28" spans="2:17" x14ac:dyDescent="0.2">
      <c r="B28" s="409"/>
      <c r="C28" s="409"/>
      <c r="D28" s="409"/>
      <c r="E28" s="409"/>
      <c r="F28" s="455">
        <f>SUMIF($G$9:$G$16,G28,$F$9:$F$16)/$F$26</f>
        <v>0</v>
      </c>
      <c r="G28" s="409" t="s">
        <v>514</v>
      </c>
      <c r="H28" s="409"/>
      <c r="I28" s="409"/>
      <c r="J28" s="409"/>
      <c r="K28" s="409"/>
      <c r="L28" s="409"/>
      <c r="M28" s="409"/>
      <c r="N28" s="409"/>
      <c r="O28" s="409"/>
      <c r="P28" s="409"/>
      <c r="Q28" s="409"/>
    </row>
    <row r="29" spans="2:17" x14ac:dyDescent="0.2">
      <c r="B29" s="409"/>
      <c r="C29" s="409"/>
      <c r="D29" s="409"/>
      <c r="E29" s="409"/>
      <c r="F29" s="455">
        <f>SUMIF($G$9:$G$16,G29,$F$9:$F$16)/$F$26</f>
        <v>8.6155713908454334E-2</v>
      </c>
      <c r="G29" s="409" t="s">
        <v>515</v>
      </c>
      <c r="H29" s="409"/>
      <c r="I29" s="409"/>
      <c r="J29" s="409"/>
      <c r="K29" s="409"/>
      <c r="L29" s="409"/>
      <c r="M29" s="409"/>
      <c r="N29" s="409"/>
      <c r="O29" s="409"/>
      <c r="P29" s="409"/>
      <c r="Q29" s="409"/>
    </row>
    <row r="30" spans="2:17" x14ac:dyDescent="0.2">
      <c r="B30" s="409"/>
      <c r="C30" s="409"/>
      <c r="D30" s="409"/>
      <c r="E30" s="409"/>
      <c r="F30" s="455">
        <f>SUMIF($G$9:$G$16,G30,$F$9:$F$16)/$F$26</f>
        <v>0.16513174888483678</v>
      </c>
      <c r="G30" s="409" t="s">
        <v>276</v>
      </c>
      <c r="H30" s="409"/>
      <c r="I30" s="409"/>
      <c r="J30" s="409"/>
      <c r="K30" s="409"/>
      <c r="L30" s="409"/>
      <c r="M30" s="409"/>
      <c r="N30" s="409"/>
      <c r="O30" s="409"/>
      <c r="P30" s="409"/>
      <c r="Q30" s="409"/>
    </row>
    <row r="31" spans="2:17" x14ac:dyDescent="0.2">
      <c r="B31" s="409"/>
      <c r="C31" s="409"/>
      <c r="D31" s="409"/>
      <c r="E31" s="409"/>
      <c r="F31" s="455">
        <f>SUMIF($G$9:$G$16,G31,$F$9:$F$16)/$F$26</f>
        <v>9.6223035674607396E-2</v>
      </c>
      <c r="G31" s="409" t="s">
        <v>256</v>
      </c>
      <c r="H31" s="409"/>
      <c r="I31" s="409"/>
      <c r="J31" s="409"/>
      <c r="K31" s="409"/>
      <c r="L31" s="409"/>
      <c r="M31" s="409"/>
      <c r="N31" s="409"/>
      <c r="O31" s="409"/>
      <c r="P31" s="409"/>
      <c r="Q31" s="409"/>
    </row>
    <row r="32" spans="2:17" x14ac:dyDescent="0.2">
      <c r="B32" s="409"/>
      <c r="C32" s="409"/>
      <c r="D32" s="409"/>
      <c r="E32" s="409"/>
      <c r="F32" s="409"/>
      <c r="G32" s="409"/>
      <c r="H32" s="409"/>
      <c r="I32" s="409"/>
      <c r="J32" s="409"/>
      <c r="K32" s="409"/>
      <c r="L32" s="409"/>
      <c r="M32" s="409"/>
      <c r="N32" s="409"/>
      <c r="O32" s="409"/>
      <c r="P32" s="409"/>
      <c r="Q32" s="409"/>
    </row>
    <row r="33" spans="2:17" x14ac:dyDescent="0.2">
      <c r="B33" s="409" t="s">
        <v>1310</v>
      </c>
      <c r="C33" s="409"/>
      <c r="D33" s="409"/>
      <c r="E33" s="409"/>
      <c r="F33" s="409"/>
      <c r="G33" s="409"/>
      <c r="H33" s="409"/>
      <c r="I33" s="409"/>
      <c r="J33" s="409"/>
      <c r="K33" s="409"/>
      <c r="L33" s="409"/>
      <c r="M33" s="409"/>
      <c r="N33" s="409"/>
      <c r="O33" s="409"/>
      <c r="P33" s="409"/>
      <c r="Q33" s="409"/>
    </row>
    <row r="34" spans="2:17" x14ac:dyDescent="0.2">
      <c r="B34" s="409" t="s">
        <v>1308</v>
      </c>
      <c r="C34" s="409"/>
      <c r="D34" s="409"/>
      <c r="E34" s="409"/>
      <c r="F34" s="456">
        <v>9.2605347751535935E-2</v>
      </c>
      <c r="G34" s="409" t="s">
        <v>513</v>
      </c>
      <c r="H34" s="409"/>
      <c r="I34" s="409"/>
      <c r="J34" s="409"/>
      <c r="K34" s="409"/>
      <c r="L34" s="409"/>
      <c r="M34" s="409"/>
      <c r="N34" s="409"/>
      <c r="O34" s="409"/>
      <c r="P34" s="409"/>
      <c r="Q34" s="409"/>
    </row>
    <row r="35" spans="2:17" x14ac:dyDescent="0.2">
      <c r="B35" s="409"/>
      <c r="C35" s="409"/>
      <c r="D35" s="409"/>
      <c r="E35" s="409"/>
      <c r="F35" s="456">
        <v>0</v>
      </c>
      <c r="G35" s="409" t="s">
        <v>514</v>
      </c>
      <c r="H35" s="409"/>
      <c r="I35" s="409"/>
      <c r="J35" s="409"/>
      <c r="K35" s="409"/>
      <c r="L35" s="409"/>
      <c r="M35" s="409"/>
      <c r="N35" s="409"/>
      <c r="O35" s="409"/>
      <c r="P35" s="409"/>
      <c r="Q35" s="409"/>
    </row>
    <row r="36" spans="2:17" x14ac:dyDescent="0.2">
      <c r="B36" s="409"/>
      <c r="C36" s="409"/>
      <c r="D36" s="409"/>
      <c r="E36" s="409"/>
      <c r="F36" s="456">
        <v>0.46650435493962711</v>
      </c>
      <c r="G36" s="409" t="s">
        <v>515</v>
      </c>
      <c r="H36" s="409"/>
      <c r="I36" s="409"/>
      <c r="J36" s="409"/>
      <c r="K36" s="409"/>
      <c r="L36" s="409"/>
      <c r="M36" s="409"/>
      <c r="N36" s="409"/>
      <c r="O36" s="409"/>
      <c r="P36" s="409"/>
      <c r="Q36" s="409"/>
    </row>
    <row r="37" spans="2:17" x14ac:dyDescent="0.2">
      <c r="B37" s="409"/>
      <c r="C37" s="409"/>
      <c r="D37" s="409"/>
      <c r="E37" s="409"/>
      <c r="F37" s="456">
        <v>0.32033309924075415</v>
      </c>
      <c r="G37" s="409" t="s">
        <v>276</v>
      </c>
      <c r="H37" s="409"/>
      <c r="I37" s="409"/>
      <c r="J37" s="409"/>
      <c r="K37" s="409"/>
      <c r="L37" s="409"/>
      <c r="M37" s="409"/>
      <c r="N37" s="409"/>
      <c r="O37" s="409"/>
      <c r="P37" s="409"/>
      <c r="Q37" s="409"/>
    </row>
    <row r="38" spans="2:17" x14ac:dyDescent="0.2">
      <c r="B38" s="409"/>
      <c r="C38" s="409"/>
      <c r="D38" s="409"/>
      <c r="E38" s="409"/>
      <c r="F38" s="456">
        <v>0.12055719806808297</v>
      </c>
      <c r="G38" s="409" t="s">
        <v>256</v>
      </c>
      <c r="H38" s="409"/>
      <c r="I38" s="409"/>
      <c r="J38" s="409"/>
      <c r="K38" s="409"/>
      <c r="L38" s="409"/>
      <c r="M38" s="409"/>
      <c r="N38" s="409"/>
      <c r="O38" s="409"/>
      <c r="P38" s="409"/>
      <c r="Q38" s="409"/>
    </row>
    <row r="39" spans="2:17" x14ac:dyDescent="0.2">
      <c r="B39" s="409"/>
      <c r="C39" s="409"/>
      <c r="D39" s="409"/>
      <c r="E39" s="409"/>
      <c r="F39" s="409"/>
      <c r="G39" s="409"/>
      <c r="H39" s="409"/>
      <c r="I39" s="409"/>
      <c r="J39" s="409"/>
      <c r="K39" s="409"/>
      <c r="L39" s="409"/>
      <c r="M39" s="409"/>
      <c r="N39" s="409"/>
      <c r="O39" s="409"/>
      <c r="P39" s="409"/>
      <c r="Q39" s="409"/>
    </row>
    <row r="40" spans="2:17" x14ac:dyDescent="0.2">
      <c r="B40" s="409"/>
      <c r="C40" s="409" t="s">
        <v>1312</v>
      </c>
      <c r="D40" s="409"/>
      <c r="E40" s="409"/>
      <c r="F40" s="409"/>
      <c r="G40" s="409"/>
      <c r="H40" s="409"/>
      <c r="I40" s="409"/>
      <c r="J40" s="409"/>
      <c r="K40" s="409"/>
      <c r="L40" s="409"/>
      <c r="M40" s="409"/>
      <c r="N40" s="409"/>
      <c r="O40" s="409"/>
      <c r="P40" s="409"/>
      <c r="Q40" s="409"/>
    </row>
    <row r="41" spans="2:17" x14ac:dyDescent="0.2">
      <c r="B41" s="409"/>
      <c r="C41" s="409" t="s">
        <v>1313</v>
      </c>
      <c r="D41" s="409">
        <v>0.5</v>
      </c>
      <c r="E41" s="409"/>
      <c r="F41" s="456">
        <f>$D$41*F27+$D$42*F34</f>
        <v>0.37254742464181873</v>
      </c>
      <c r="G41" s="409" t="s">
        <v>513</v>
      </c>
      <c r="H41" s="409"/>
      <c r="I41" s="409"/>
      <c r="J41" s="409"/>
      <c r="K41" s="409"/>
      <c r="L41" s="409"/>
      <c r="M41" s="409"/>
      <c r="N41" s="409"/>
      <c r="O41" s="409"/>
      <c r="P41" s="409"/>
      <c r="Q41" s="409"/>
    </row>
    <row r="42" spans="2:17" x14ac:dyDescent="0.2">
      <c r="B42" s="409"/>
      <c r="C42" s="409" t="s">
        <v>1308</v>
      </c>
      <c r="D42" s="409">
        <f>1-D41</f>
        <v>0.5</v>
      </c>
      <c r="E42" s="409"/>
      <c r="F42" s="456">
        <f t="shared" ref="F42:F45" si="1">$D$41*F28+$D$42*F35</f>
        <v>0</v>
      </c>
      <c r="G42" s="409" t="s">
        <v>514</v>
      </c>
      <c r="H42" s="409"/>
      <c r="I42" s="409"/>
      <c r="J42" s="409"/>
      <c r="K42" s="409"/>
      <c r="L42" s="409"/>
      <c r="M42" s="409"/>
      <c r="N42" s="409"/>
      <c r="O42" s="409"/>
      <c r="P42" s="409"/>
      <c r="Q42" s="409"/>
    </row>
    <row r="43" spans="2:17" x14ac:dyDescent="0.2">
      <c r="B43" s="409"/>
      <c r="C43" s="409"/>
      <c r="D43" s="409"/>
      <c r="E43" s="409"/>
      <c r="F43" s="456">
        <f t="shared" si="1"/>
        <v>0.27633003442404069</v>
      </c>
      <c r="G43" s="409" t="s">
        <v>515</v>
      </c>
      <c r="H43" s="409"/>
      <c r="I43" s="409"/>
      <c r="J43" s="409"/>
      <c r="K43" s="409"/>
      <c r="L43" s="409"/>
      <c r="M43" s="409"/>
      <c r="N43" s="409"/>
      <c r="O43" s="409"/>
      <c r="P43" s="409"/>
      <c r="Q43" s="409"/>
    </row>
    <row r="44" spans="2:17" x14ac:dyDescent="0.2">
      <c r="F44" s="456">
        <f t="shared" si="1"/>
        <v>0.24273242406279547</v>
      </c>
      <c r="G44" s="409" t="s">
        <v>276</v>
      </c>
      <c r="H44" s="409"/>
      <c r="I44" s="409"/>
      <c r="J44" s="409"/>
      <c r="K44" s="409"/>
      <c r="L44" s="409"/>
      <c r="M44" s="409"/>
      <c r="N44" s="409"/>
      <c r="O44" s="409"/>
      <c r="P44" s="409"/>
      <c r="Q44" s="409"/>
    </row>
    <row r="45" spans="2:17" x14ac:dyDescent="0.2">
      <c r="F45" s="456">
        <f t="shared" si="1"/>
        <v>0.10839011687134519</v>
      </c>
      <c r="G45" s="409" t="s">
        <v>256</v>
      </c>
      <c r="H45" s="409"/>
      <c r="I45" s="409"/>
      <c r="J45" s="409"/>
      <c r="K45" s="409"/>
      <c r="L45" s="409"/>
      <c r="M45" s="409"/>
      <c r="N45" s="409"/>
      <c r="O45" s="409"/>
      <c r="P45" s="409"/>
      <c r="Q45" s="409"/>
    </row>
    <row r="46" spans="2:17" x14ac:dyDescent="0.2">
      <c r="H46" s="409"/>
      <c r="I46" s="409"/>
      <c r="J46" s="409"/>
      <c r="K46" s="409"/>
      <c r="L46" s="409"/>
      <c r="M46" s="409"/>
      <c r="N46" s="409"/>
      <c r="O46" s="409"/>
      <c r="P46" s="409"/>
      <c r="Q46" s="409"/>
    </row>
    <row r="47" spans="2:17" x14ac:dyDescent="0.2">
      <c r="H47" s="409"/>
      <c r="I47" s="409"/>
      <c r="J47" s="409"/>
      <c r="K47" s="409"/>
      <c r="L47" s="409"/>
      <c r="M47" s="409"/>
      <c r="N47" s="409"/>
      <c r="O47" s="409"/>
      <c r="P47" s="409"/>
      <c r="Q47" s="409"/>
    </row>
    <row r="48" spans="2:17" x14ac:dyDescent="0.2">
      <c r="H48" s="409"/>
      <c r="I48" s="409"/>
      <c r="J48" s="409"/>
      <c r="K48" s="409"/>
      <c r="L48" s="409"/>
      <c r="M48" s="409"/>
      <c r="N48" s="409"/>
      <c r="O48" s="409"/>
      <c r="P48" s="409"/>
      <c r="Q48" s="409"/>
    </row>
    <row r="49" spans="2:17" x14ac:dyDescent="0.2">
      <c r="H49" s="409"/>
      <c r="I49" s="409"/>
      <c r="J49" s="409"/>
      <c r="K49" s="409"/>
      <c r="L49" s="409"/>
      <c r="M49" s="409"/>
      <c r="N49" s="409"/>
      <c r="O49" s="409"/>
      <c r="P49" s="409"/>
      <c r="Q49" s="409"/>
    </row>
    <row r="50" spans="2:17" x14ac:dyDescent="0.2">
      <c r="H50" s="409"/>
      <c r="I50" s="409"/>
      <c r="J50" s="409"/>
      <c r="K50" s="409"/>
      <c r="L50" s="409"/>
      <c r="M50" s="409"/>
      <c r="N50" s="409"/>
      <c r="O50" s="409"/>
      <c r="P50" s="409"/>
      <c r="Q50" s="409"/>
    </row>
    <row r="51" spans="2:17" x14ac:dyDescent="0.2">
      <c r="B51" s="409" t="s">
        <v>1309</v>
      </c>
      <c r="C51" s="409"/>
      <c r="D51" s="409"/>
      <c r="E51" s="409"/>
      <c r="F51" s="456">
        <v>8.3071830343431657E-2</v>
      </c>
      <c r="G51" s="409" t="s">
        <v>513</v>
      </c>
      <c r="H51" s="409"/>
      <c r="I51" s="409"/>
      <c r="J51" s="409"/>
      <c r="K51" s="409"/>
      <c r="L51" s="409"/>
      <c r="M51" s="409"/>
      <c r="N51" s="409"/>
      <c r="O51" s="409"/>
      <c r="P51" s="409"/>
      <c r="Q51" s="409"/>
    </row>
    <row r="52" spans="2:17" x14ac:dyDescent="0.2">
      <c r="B52" s="409"/>
      <c r="C52" s="409"/>
      <c r="D52" s="409"/>
      <c r="E52" s="409"/>
      <c r="F52" s="456">
        <v>0</v>
      </c>
      <c r="G52" s="409" t="s">
        <v>514</v>
      </c>
      <c r="H52" s="409"/>
      <c r="I52" s="409"/>
      <c r="J52" s="409"/>
      <c r="K52" s="409"/>
      <c r="L52" s="409"/>
      <c r="M52" s="409"/>
      <c r="N52" s="409"/>
      <c r="O52" s="409"/>
      <c r="P52" s="409"/>
      <c r="Q52" s="409"/>
    </row>
    <row r="53" spans="2:17" x14ac:dyDescent="0.2">
      <c r="B53" s="409"/>
      <c r="C53" s="409"/>
      <c r="D53" s="409"/>
      <c r="E53" s="409"/>
      <c r="F53" s="456">
        <v>0.59519421793121974</v>
      </c>
      <c r="G53" s="409" t="s">
        <v>515</v>
      </c>
      <c r="H53" s="409"/>
      <c r="I53" s="409"/>
      <c r="J53" s="409"/>
      <c r="K53" s="409"/>
      <c r="L53" s="409"/>
      <c r="M53" s="409"/>
      <c r="N53" s="409"/>
      <c r="O53" s="409"/>
      <c r="P53" s="409"/>
      <c r="Q53" s="409"/>
    </row>
    <row r="54" spans="2:17" x14ac:dyDescent="0.2">
      <c r="B54" s="409"/>
      <c r="C54" s="409"/>
      <c r="D54" s="409"/>
      <c r="E54" s="409"/>
      <c r="F54" s="456">
        <v>0.16361766967800323</v>
      </c>
      <c r="G54" s="409" t="s">
        <v>276</v>
      </c>
      <c r="H54" s="409"/>
      <c r="I54" s="409"/>
      <c r="J54" s="409"/>
      <c r="K54" s="409"/>
      <c r="L54" s="409"/>
      <c r="M54" s="409"/>
      <c r="N54" s="409"/>
      <c r="O54" s="409"/>
      <c r="P54" s="409"/>
      <c r="Q54" s="409"/>
    </row>
    <row r="55" spans="2:17" x14ac:dyDescent="0.2">
      <c r="B55" s="409"/>
      <c r="C55" s="409"/>
      <c r="D55" s="409"/>
      <c r="E55" s="409"/>
      <c r="F55" s="456">
        <v>0.1581162820473454</v>
      </c>
      <c r="G55" s="409" t="s">
        <v>256</v>
      </c>
    </row>
    <row r="56" spans="2:17" x14ac:dyDescent="0.2">
      <c r="B56" s="409"/>
      <c r="C56" s="409"/>
      <c r="D56" s="409"/>
      <c r="E56" s="409"/>
      <c r="F56" s="409"/>
      <c r="G56" s="409"/>
    </row>
    <row r="57" spans="2:17" x14ac:dyDescent="0.2">
      <c r="B57" s="409"/>
      <c r="C57" s="409" t="s">
        <v>1311</v>
      </c>
      <c r="D57" s="409"/>
      <c r="E57" s="409"/>
      <c r="F57" s="409"/>
      <c r="G57" s="409"/>
    </row>
    <row r="58" spans="2:17" x14ac:dyDescent="0.2">
      <c r="C58" s="1" t="s">
        <v>1308</v>
      </c>
      <c r="D58">
        <v>0.5</v>
      </c>
      <c r="F58" s="64">
        <f>F34*$D$58+F51*$D$59</f>
        <v>8.7838589047483789E-2</v>
      </c>
      <c r="G58" s="409" t="s">
        <v>513</v>
      </c>
    </row>
    <row r="59" spans="2:17" x14ac:dyDescent="0.2">
      <c r="C59" s="1" t="s">
        <v>1309</v>
      </c>
      <c r="D59">
        <v>0.5</v>
      </c>
      <c r="F59" s="64">
        <f t="shared" ref="F59:F62" si="2">F35*$D$58+F52*$D$59</f>
        <v>0</v>
      </c>
      <c r="G59" s="409" t="s">
        <v>514</v>
      </c>
    </row>
    <row r="60" spans="2:17" x14ac:dyDescent="0.2">
      <c r="F60" s="64">
        <f t="shared" si="2"/>
        <v>0.5308492864354234</v>
      </c>
      <c r="G60" s="409" t="s">
        <v>515</v>
      </c>
    </row>
    <row r="61" spans="2:17" x14ac:dyDescent="0.2">
      <c r="F61" s="64">
        <f t="shared" si="2"/>
        <v>0.24197538445937869</v>
      </c>
      <c r="G61" s="409" t="s">
        <v>276</v>
      </c>
    </row>
    <row r="62" spans="2:17" x14ac:dyDescent="0.2">
      <c r="F62" s="64">
        <f t="shared" si="2"/>
        <v>0.13933674005771418</v>
      </c>
      <c r="G62" s="409" t="s">
        <v>256</v>
      </c>
    </row>
  </sheetData>
  <mergeCells count="1">
    <mergeCell ref="C8:G8"/>
  </mergeCells>
  <hyperlinks>
    <hyperlink ref="C5" r:id="rId1" xr:uid="{A7C7943C-C7B0-4EE4-B669-69177BD1DF8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D66F0-9721-4C0E-A87D-BEE7257F1680}">
  <sheetPr codeName="Sheet19">
    <tabColor rgb="FFFFC000"/>
  </sheetPr>
  <dimension ref="A2:AL291"/>
  <sheetViews>
    <sheetView workbookViewId="0"/>
  </sheetViews>
  <sheetFormatPr defaultColWidth="8.85546875" defaultRowHeight="15.75" outlineLevelRow="1" x14ac:dyDescent="0.35"/>
  <cols>
    <col min="1" max="1" width="24.85546875" style="77" customWidth="1"/>
    <col min="2" max="2" width="10.42578125" style="77" customWidth="1"/>
    <col min="3" max="3" width="36.7109375" style="77" customWidth="1"/>
    <col min="4" max="4" width="14.5703125" style="77" customWidth="1"/>
    <col min="5" max="5" width="12.140625" style="77" customWidth="1"/>
    <col min="6" max="6" width="16.5703125" style="77" customWidth="1"/>
    <col min="7" max="9" width="12.140625" style="77" customWidth="1"/>
    <col min="10" max="10" width="21" style="77" customWidth="1"/>
    <col min="11" max="11" width="21.28515625" style="77" customWidth="1"/>
    <col min="12" max="13" width="14.5703125" style="77" customWidth="1"/>
    <col min="14" max="14" width="15.85546875" style="77" customWidth="1"/>
    <col min="15" max="15" width="16.28515625" style="77" customWidth="1"/>
    <col min="16" max="16" width="18.5703125" style="77" customWidth="1"/>
    <col min="17" max="17" width="29" style="77" customWidth="1"/>
    <col min="18" max="18" width="14.28515625" style="77" customWidth="1"/>
    <col min="19" max="19" width="14" style="77" customWidth="1"/>
    <col min="20" max="20" width="8.85546875" style="77"/>
    <col min="21" max="21" width="9" style="77" customWidth="1"/>
    <col min="22" max="22" width="8.85546875" style="77"/>
    <col min="23" max="23" width="14.5703125" style="77" customWidth="1"/>
    <col min="24" max="24" width="104.7109375" style="77" customWidth="1"/>
    <col min="25" max="25" width="20.42578125" style="77" customWidth="1"/>
    <col min="26" max="26" width="23.85546875" style="77" customWidth="1"/>
    <col min="27" max="29" width="8.85546875" style="77"/>
    <col min="30" max="30" width="13.7109375" style="77" bestFit="1" customWidth="1"/>
    <col min="31" max="36" width="8.85546875" style="77"/>
    <col min="37" max="37" width="36.7109375" style="77" customWidth="1"/>
    <col min="38" max="38" width="16.7109375" style="77" customWidth="1"/>
    <col min="39" max="16384" width="8.85546875" style="77"/>
  </cols>
  <sheetData>
    <row r="2" spans="1:19" s="190" customFormat="1" x14ac:dyDescent="0.35">
      <c r="A2" s="191" t="s">
        <v>874</v>
      </c>
      <c r="B2" s="191"/>
    </row>
    <row r="4" spans="1:19" ht="18" customHeight="1" x14ac:dyDescent="0.35">
      <c r="C4" s="266"/>
      <c r="D4" s="464" t="s">
        <v>873</v>
      </c>
      <c r="E4" s="465"/>
      <c r="F4" s="465"/>
      <c r="G4" s="465"/>
      <c r="H4" s="466"/>
      <c r="I4" s="464" t="s">
        <v>872</v>
      </c>
      <c r="J4" s="465"/>
      <c r="K4" s="465"/>
      <c r="L4" s="465"/>
      <c r="M4" s="466"/>
      <c r="N4" s="464" t="s">
        <v>871</v>
      </c>
      <c r="O4" s="465"/>
      <c r="P4" s="465"/>
      <c r="Q4" s="465"/>
      <c r="R4" s="465"/>
      <c r="S4" s="466"/>
    </row>
    <row r="5" spans="1:19" s="263" customFormat="1" ht="46.9" customHeight="1" x14ac:dyDescent="0.2">
      <c r="C5" s="265" t="s">
        <v>870</v>
      </c>
      <c r="D5" s="264" t="s">
        <v>869</v>
      </c>
      <c r="E5" s="264" t="s">
        <v>868</v>
      </c>
      <c r="F5" s="264" t="s">
        <v>867</v>
      </c>
      <c r="G5" s="264" t="s">
        <v>866</v>
      </c>
      <c r="H5" s="264" t="s">
        <v>865</v>
      </c>
      <c r="I5" s="264" t="s">
        <v>869</v>
      </c>
      <c r="J5" s="264" t="s">
        <v>868</v>
      </c>
      <c r="K5" s="264" t="s">
        <v>867</v>
      </c>
      <c r="L5" s="264" t="s">
        <v>866</v>
      </c>
      <c r="M5" s="264" t="s">
        <v>865</v>
      </c>
      <c r="N5" s="264" t="s">
        <v>864</v>
      </c>
      <c r="O5" s="264" t="s">
        <v>863</v>
      </c>
      <c r="P5" s="264" t="s">
        <v>862</v>
      </c>
      <c r="Q5" s="264" t="s">
        <v>861</v>
      </c>
      <c r="R5" s="264" t="s">
        <v>860</v>
      </c>
      <c r="S5" s="264" t="s">
        <v>859</v>
      </c>
    </row>
    <row r="6" spans="1:19" x14ac:dyDescent="0.35">
      <c r="C6" s="83" t="str">
        <f>D90</f>
        <v>Tower - steel</v>
      </c>
      <c r="D6" s="261">
        <f>W96</f>
        <v>106.67548116432459</v>
      </c>
      <c r="E6" s="261">
        <f>D6*(1+$D$19)</f>
        <v>117.43990913247036</v>
      </c>
      <c r="F6" s="261">
        <f>O102</f>
        <v>121.53518852944353</v>
      </c>
      <c r="G6" s="256">
        <f t="shared" ref="G6:G12" si="0">F6/D6-1</f>
        <v>0.13929824550993875</v>
      </c>
      <c r="H6" s="256">
        <f t="shared" ref="H6:H12" si="1">F6/E6-1</f>
        <v>3.4871275252382539E-2</v>
      </c>
      <c r="I6" s="258"/>
      <c r="J6" s="259">
        <f>I6*(1+$D$19)</f>
        <v>0</v>
      </c>
      <c r="K6" s="258"/>
      <c r="L6" s="86" t="e">
        <f>K6/I6-1</f>
        <v>#DIV/0!</v>
      </c>
      <c r="M6" s="86" t="e">
        <f>K6/J6-1</f>
        <v>#DIV/0!</v>
      </c>
      <c r="N6" s="257" t="s">
        <v>858</v>
      </c>
      <c r="O6" s="257" t="s">
        <v>781</v>
      </c>
      <c r="P6" s="257" t="s">
        <v>857</v>
      </c>
      <c r="Q6" s="257">
        <v>550</v>
      </c>
      <c r="R6" s="257" t="s">
        <v>856</v>
      </c>
      <c r="S6" s="256">
        <f>'[16]From SAM'!D29</f>
        <v>0.26942155512861127</v>
      </c>
    </row>
    <row r="7" spans="1:19" x14ac:dyDescent="0.35">
      <c r="C7" s="83" t="str">
        <f>D105</f>
        <v>Tower - concrete</v>
      </c>
      <c r="D7" s="261">
        <f>W111</f>
        <v>76.8123608823241</v>
      </c>
      <c r="E7" s="261">
        <f>D7*(1+$D$19)</f>
        <v>84.563355925949139</v>
      </c>
      <c r="F7" s="261">
        <f>O117</f>
        <v>87.973019005525273</v>
      </c>
      <c r="G7" s="256">
        <f t="shared" si="0"/>
        <v>0.14529768379726282</v>
      </c>
      <c r="H7" s="256">
        <f t="shared" si="1"/>
        <v>4.0320810855258848E-2</v>
      </c>
      <c r="I7" s="258"/>
      <c r="J7" s="259">
        <f>I7*(1+$D$19)</f>
        <v>0</v>
      </c>
      <c r="K7" s="258"/>
      <c r="L7" s="86" t="e">
        <f>K7/I7-1</f>
        <v>#DIV/0!</v>
      </c>
      <c r="M7" s="86" t="e">
        <f>K7/J7-1</f>
        <v>#DIV/0!</v>
      </c>
      <c r="N7" s="262"/>
      <c r="O7" s="257" t="s">
        <v>855</v>
      </c>
      <c r="P7" s="257"/>
      <c r="Q7" s="257">
        <v>250</v>
      </c>
      <c r="R7" s="257">
        <f>ROUND(Q7*$F$34,-1)</f>
        <v>480</v>
      </c>
      <c r="S7" s="256">
        <f>'[16]From SAM'!D24</f>
        <v>0.27312447381898247</v>
      </c>
    </row>
    <row r="8" spans="1:19" x14ac:dyDescent="0.35">
      <c r="C8" s="83" t="str">
        <f>D120</f>
        <v>Nacelle</v>
      </c>
      <c r="D8" s="261">
        <f>F139</f>
        <v>488</v>
      </c>
      <c r="E8" s="261">
        <f>D8*(1+$D$19)</f>
        <v>537.2431886982846</v>
      </c>
      <c r="F8" s="261">
        <f>O139</f>
        <v>526.01669655436785</v>
      </c>
      <c r="G8" s="256">
        <f t="shared" si="0"/>
        <v>7.7903066709770208E-2</v>
      </c>
      <c r="H8" s="256">
        <f t="shared" si="1"/>
        <v>-2.0896481109640486E-2</v>
      </c>
      <c r="I8" s="260"/>
      <c r="J8" s="259">
        <f>I8*(1+$D$19)</f>
        <v>0</v>
      </c>
      <c r="K8" s="258"/>
      <c r="L8" s="86" t="e">
        <f>K8/I8-1</f>
        <v>#DIV/0!</v>
      </c>
      <c r="M8" s="86" t="e">
        <f>K8/J8-1</f>
        <v>#DIV/0!</v>
      </c>
      <c r="N8" s="257" t="str">
        <f>Y123</f>
        <v>US$110 m</v>
      </c>
      <c r="O8" s="257" t="s">
        <v>854</v>
      </c>
      <c r="P8" s="257">
        <f>ROUND(1400*3,-2)</f>
        <v>4200</v>
      </c>
      <c r="Q8" s="257">
        <f>Y125</f>
        <v>400</v>
      </c>
      <c r="R8" s="257">
        <f>ROUND(Q8*$F$34,-1)</f>
        <v>770</v>
      </c>
      <c r="S8" s="256">
        <f>'[16]From SAM'!D30</f>
        <v>0.30161258163728344</v>
      </c>
    </row>
    <row r="9" spans="1:19" x14ac:dyDescent="0.35">
      <c r="C9" s="83" t="str">
        <f>D142</f>
        <v>Rotor Hub</v>
      </c>
      <c r="D9" s="261">
        <f>F154</f>
        <v>104</v>
      </c>
      <c r="E9" s="261">
        <f>D9*(1+$D$19)</f>
        <v>114.49445005045408</v>
      </c>
      <c r="F9" s="261">
        <f>O154</f>
        <v>105.69877761465656</v>
      </c>
      <c r="G9" s="256">
        <f t="shared" si="0"/>
        <v>1.6334400140928462E-2</v>
      </c>
      <c r="H9" s="256">
        <f t="shared" si="1"/>
        <v>-7.6821823520018095E-2</v>
      </c>
      <c r="I9" s="260"/>
      <c r="J9" s="259">
        <f>I9*(1+$D$19)</f>
        <v>0</v>
      </c>
      <c r="K9" s="258"/>
      <c r="L9" s="86" t="e">
        <f>K9/I9-1</f>
        <v>#DIV/0!</v>
      </c>
      <c r="M9" s="86" t="e">
        <f>K9/J9-1</f>
        <v>#DIV/0!</v>
      </c>
      <c r="N9" s="257"/>
      <c r="O9" s="257"/>
      <c r="P9" s="257"/>
      <c r="Q9" s="257"/>
      <c r="R9" s="257">
        <f>ROUND(Q9*$F$34,-1)</f>
        <v>0</v>
      </c>
      <c r="S9" s="256">
        <f>S8</f>
        <v>0.30161258163728344</v>
      </c>
    </row>
    <row r="10" spans="1:19" x14ac:dyDescent="0.35">
      <c r="C10" s="83" t="str">
        <f>D157</f>
        <v>Blades</v>
      </c>
      <c r="D10" s="261">
        <f>F169</f>
        <v>184</v>
      </c>
      <c r="E10" s="261">
        <f>D10*(1+$D$19)</f>
        <v>202.56710393541877</v>
      </c>
      <c r="F10" s="261">
        <f>O169</f>
        <v>280.19879623758533</v>
      </c>
      <c r="G10" s="256">
        <f t="shared" si="0"/>
        <v>0.52281954476948544</v>
      </c>
      <c r="H10" s="256">
        <f t="shared" si="1"/>
        <v>0.38323938484560971</v>
      </c>
      <c r="I10" s="260"/>
      <c r="J10" s="259">
        <f>I10*(1+$D$19)</f>
        <v>0</v>
      </c>
      <c r="K10" s="258"/>
      <c r="L10" s="86" t="e">
        <f>K10/I10-1</f>
        <v>#DIV/0!</v>
      </c>
      <c r="M10" s="86" t="e">
        <f>K10/J10-1</f>
        <v>#DIV/0!</v>
      </c>
      <c r="N10" s="257" t="str">
        <f>Y160</f>
        <v>US$180 m</v>
      </c>
      <c r="O10" s="257" t="str">
        <f>Y161</f>
        <v>1 800 blades</v>
      </c>
      <c r="P10" s="257">
        <f>ROUND(1800/3*3,-1)</f>
        <v>1800</v>
      </c>
      <c r="Q10" s="257">
        <f>Y162</f>
        <v>650</v>
      </c>
      <c r="R10" s="257">
        <f>ROUND(Q10*$F$34,-1)</f>
        <v>1250</v>
      </c>
      <c r="S10" s="256">
        <f>'[16]From SAM'!D24</f>
        <v>0.27312447381898247</v>
      </c>
    </row>
    <row r="11" spans="1:19" x14ac:dyDescent="0.35">
      <c r="C11" s="255" t="s">
        <v>853</v>
      </c>
      <c r="D11" s="254">
        <f>D6+D8+D9+D10</f>
        <v>882.67548116432454</v>
      </c>
      <c r="E11" s="254">
        <f>E6+E8+E9+E10</f>
        <v>971.74465181662777</v>
      </c>
      <c r="F11" s="254">
        <f>F6+F8+F9+F10</f>
        <v>1033.4494589360534</v>
      </c>
      <c r="G11" s="253">
        <f t="shared" si="0"/>
        <v>0.17081473428132954</v>
      </c>
      <c r="H11" s="253">
        <f t="shared" si="1"/>
        <v>6.3498993283957361E-2</v>
      </c>
      <c r="I11" s="252"/>
      <c r="J11" s="252"/>
      <c r="K11" s="252"/>
      <c r="L11" s="252"/>
      <c r="M11" s="252"/>
      <c r="N11" s="252"/>
      <c r="O11" s="252"/>
      <c r="P11" s="252"/>
      <c r="Q11" s="252"/>
      <c r="R11" s="252"/>
      <c r="S11" s="252"/>
    </row>
    <row r="12" spans="1:19" x14ac:dyDescent="0.35">
      <c r="C12" s="255" t="s">
        <v>852</v>
      </c>
      <c r="D12" s="254">
        <f>D7+D8+D9+D10</f>
        <v>852.81236088232413</v>
      </c>
      <c r="E12" s="254">
        <f>E7+E8+E9+E10</f>
        <v>938.8680986101067</v>
      </c>
      <c r="F12" s="254">
        <f>F7+F8+F9+F10</f>
        <v>999.88728941213503</v>
      </c>
      <c r="G12" s="253">
        <f t="shared" si="0"/>
        <v>0.17245872043604815</v>
      </c>
      <c r="H12" s="253">
        <f t="shared" si="1"/>
        <v>6.4992293265007772E-2</v>
      </c>
      <c r="I12" s="252"/>
      <c r="J12" s="252"/>
      <c r="K12" s="252"/>
      <c r="L12" s="252"/>
      <c r="M12" s="252"/>
      <c r="N12" s="252"/>
      <c r="O12" s="252"/>
      <c r="P12" s="252"/>
      <c r="Q12" s="252"/>
      <c r="R12" s="252"/>
      <c r="S12" s="252"/>
    </row>
    <row r="13" spans="1:19" x14ac:dyDescent="0.35">
      <c r="C13" s="193"/>
      <c r="D13" s="192"/>
      <c r="E13" s="192"/>
      <c r="F13" s="192"/>
      <c r="G13" s="192"/>
      <c r="H13" s="192"/>
      <c r="I13" s="92"/>
      <c r="K13" s="92"/>
      <c r="L13" s="92"/>
      <c r="M13" s="92"/>
    </row>
    <row r="14" spans="1:19" s="190" customFormat="1" x14ac:dyDescent="0.35">
      <c r="A14" s="191" t="s">
        <v>851</v>
      </c>
      <c r="B14" s="191"/>
    </row>
    <row r="15" spans="1:19" ht="16.5" thickBot="1" x14ac:dyDescent="0.4"/>
    <row r="16" spans="1:19" ht="16.5" thickBot="1" x14ac:dyDescent="0.4">
      <c r="C16" s="106" t="s">
        <v>850</v>
      </c>
      <c r="D16" s="251">
        <f>'[16]Key assumptions'!C4</f>
        <v>14.4</v>
      </c>
      <c r="E16" s="192"/>
      <c r="F16" s="77" t="s">
        <v>849</v>
      </c>
    </row>
    <row r="17" spans="3:23" ht="16.5" thickBot="1" x14ac:dyDescent="0.4">
      <c r="C17" s="106" t="s">
        <v>848</v>
      </c>
      <c r="D17" s="251">
        <f>'[16]Key assumptions'!C5</f>
        <v>0.83526682134570773</v>
      </c>
      <c r="E17" s="192"/>
      <c r="F17" s="77" t="s">
        <v>847</v>
      </c>
    </row>
    <row r="18" spans="3:23" ht="16.5" thickBot="1" x14ac:dyDescent="0.4">
      <c r="C18" s="106" t="s">
        <v>846</v>
      </c>
      <c r="D18" s="251">
        <f>'[16]Key assumptions'!C6</f>
        <v>17.239999999999998</v>
      </c>
      <c r="E18" s="192"/>
      <c r="F18" s="77" t="str">
        <f>F16</f>
        <v>Reserve Bank (april 2021)</v>
      </c>
    </row>
    <row r="19" spans="3:23" ht="16.5" thickBot="1" x14ac:dyDescent="0.4">
      <c r="C19" s="106" t="s">
        <v>845</v>
      </c>
      <c r="D19" s="250">
        <f>'[16]Key assumptions'!C7</f>
        <v>0.10090817356205853</v>
      </c>
      <c r="E19" s="249"/>
      <c r="F19" s="77" t="s">
        <v>844</v>
      </c>
      <c r="H19" s="77" t="s">
        <v>843</v>
      </c>
      <c r="N19" s="245"/>
      <c r="O19" s="192"/>
    </row>
    <row r="20" spans="3:23" x14ac:dyDescent="0.35">
      <c r="C20" s="193"/>
      <c r="D20" s="192"/>
      <c r="E20" s="192"/>
      <c r="I20" s="246"/>
      <c r="K20" s="246"/>
      <c r="L20" s="246"/>
      <c r="M20" s="246"/>
      <c r="N20" s="245"/>
      <c r="O20" s="192"/>
    </row>
    <row r="21" spans="3:23" x14ac:dyDescent="0.35">
      <c r="C21" s="248"/>
      <c r="D21" s="247">
        <v>43466</v>
      </c>
      <c r="E21" s="247">
        <v>43647</v>
      </c>
      <c r="F21" s="247">
        <v>43831</v>
      </c>
      <c r="H21" s="246"/>
      <c r="J21" s="246"/>
      <c r="K21" s="246"/>
      <c r="L21" s="246"/>
      <c r="M21" s="245"/>
      <c r="N21" s="192"/>
    </row>
    <row r="22" spans="3:23" x14ac:dyDescent="0.35">
      <c r="C22" s="244" t="s">
        <v>842</v>
      </c>
      <c r="D22" s="243">
        <f>'[16]Key assumptions'!C12</f>
        <v>0</v>
      </c>
      <c r="E22" s="243">
        <f>'[16]Key assumptions'!D12</f>
        <v>0</v>
      </c>
      <c r="F22" s="243">
        <f>'[16]Key assumptions'!E12</f>
        <v>20.9</v>
      </c>
      <c r="H22" s="246"/>
      <c r="J22" s="246"/>
      <c r="K22" s="246"/>
      <c r="L22" s="246"/>
      <c r="M22" s="245"/>
      <c r="N22" s="192"/>
    </row>
    <row r="23" spans="3:23" x14ac:dyDescent="0.35">
      <c r="C23" s="244" t="s">
        <v>839</v>
      </c>
      <c r="D23" s="243">
        <f>'[16]Key assumptions'!C13</f>
        <v>0</v>
      </c>
      <c r="E23" s="243">
        <f>'[16]Key assumptions'!D13</f>
        <v>0</v>
      </c>
      <c r="F23" s="243">
        <f>'[16]Key assumptions'!E13</f>
        <v>50.9</v>
      </c>
      <c r="H23" s="246"/>
      <c r="J23" s="246"/>
      <c r="K23" s="246"/>
      <c r="L23" s="246"/>
      <c r="M23" s="245"/>
      <c r="N23" s="192"/>
    </row>
    <row r="24" spans="3:23" x14ac:dyDescent="0.35">
      <c r="C24" s="244"/>
      <c r="D24" s="243">
        <f>'[16]Key assumptions'!C14</f>
        <v>0</v>
      </c>
      <c r="E24" s="243">
        <f>'[16]Key assumptions'!D14</f>
        <v>0</v>
      </c>
      <c r="F24" s="243">
        <f>'[16]Key assumptions'!E14</f>
        <v>2.4354066985645932</v>
      </c>
      <c r="H24" s="92"/>
      <c r="J24" s="92"/>
      <c r="K24" s="92"/>
      <c r="L24" s="92"/>
    </row>
    <row r="25" spans="3:23" x14ac:dyDescent="0.35">
      <c r="C25" s="193"/>
      <c r="D25" s="192"/>
      <c r="E25" s="192"/>
      <c r="F25" s="192"/>
      <c r="H25" s="92"/>
      <c r="J25" s="92"/>
      <c r="K25" s="92"/>
      <c r="L25" s="92"/>
    </row>
    <row r="26" spans="3:23" x14ac:dyDescent="0.35">
      <c r="C26" s="248"/>
      <c r="D26" s="247">
        <v>43466</v>
      </c>
      <c r="E26" s="247">
        <v>43647</v>
      </c>
      <c r="F26" s="247">
        <v>43831</v>
      </c>
      <c r="H26" s="246"/>
      <c r="J26" s="246"/>
      <c r="K26" s="246"/>
      <c r="L26" s="246"/>
      <c r="M26" s="245"/>
      <c r="N26" s="192"/>
    </row>
    <row r="27" spans="3:23" x14ac:dyDescent="0.35">
      <c r="C27" s="244" t="s">
        <v>841</v>
      </c>
      <c r="D27" s="243">
        <f>'[16]Key assumptions'!C17</f>
        <v>0</v>
      </c>
      <c r="E27" s="243">
        <f>'[16]Key assumptions'!D17</f>
        <v>0</v>
      </c>
      <c r="F27" s="243">
        <f>'[16]Key assumptions'!E17</f>
        <v>47.3</v>
      </c>
      <c r="H27" s="246"/>
      <c r="J27" s="246"/>
      <c r="K27" s="246"/>
      <c r="L27" s="246"/>
      <c r="M27" s="245"/>
      <c r="N27" s="192"/>
    </row>
    <row r="28" spans="3:23" x14ac:dyDescent="0.35">
      <c r="C28" s="244" t="s">
        <v>839</v>
      </c>
      <c r="D28" s="243">
        <f>'[16]Key assumptions'!C18</f>
        <v>0</v>
      </c>
      <c r="E28" s="243">
        <f>'[16]Key assumptions'!D18</f>
        <v>0</v>
      </c>
      <c r="F28" s="243">
        <f>'[16]Key assumptions'!E18</f>
        <v>50.9</v>
      </c>
      <c r="H28" s="246"/>
      <c r="J28" s="246"/>
      <c r="K28" s="246"/>
      <c r="L28" s="246"/>
      <c r="M28" s="245"/>
      <c r="N28" s="192"/>
    </row>
    <row r="29" spans="3:23" x14ac:dyDescent="0.35">
      <c r="C29" s="244"/>
      <c r="D29" s="243">
        <f>'[16]Key assumptions'!C19</f>
        <v>0</v>
      </c>
      <c r="E29" s="243">
        <f>'[16]Key assumptions'!D19</f>
        <v>0</v>
      </c>
      <c r="F29" s="243">
        <f>'[16]Key assumptions'!E19</f>
        <v>1.0761099365750528</v>
      </c>
      <c r="H29" s="92"/>
      <c r="J29" s="92"/>
      <c r="K29" s="92"/>
      <c r="L29" s="92"/>
    </row>
    <row r="30" spans="3:23" x14ac:dyDescent="0.35">
      <c r="C30" s="193"/>
      <c r="D30" s="192"/>
      <c r="E30" s="192"/>
      <c r="F30" s="192"/>
      <c r="H30" s="192"/>
      <c r="I30" s="92"/>
      <c r="K30" s="92"/>
      <c r="L30" s="92"/>
      <c r="M30" s="92"/>
    </row>
    <row r="31" spans="3:23" x14ac:dyDescent="0.35">
      <c r="C31" s="248"/>
      <c r="D31" s="247">
        <v>43466</v>
      </c>
      <c r="E31" s="247">
        <v>43647</v>
      </c>
      <c r="F31" s="247">
        <v>43831</v>
      </c>
      <c r="H31" s="246"/>
      <c r="J31" s="246"/>
      <c r="K31" s="246"/>
      <c r="L31" s="246"/>
      <c r="M31" s="245"/>
      <c r="N31" s="192"/>
      <c r="V31" s="82"/>
      <c r="W31" s="82"/>
    </row>
    <row r="32" spans="3:23" x14ac:dyDescent="0.35">
      <c r="C32" s="244" t="s">
        <v>840</v>
      </c>
      <c r="D32" s="243">
        <f>'[16]Key assumptions'!C22</f>
        <v>0</v>
      </c>
      <c r="E32" s="243">
        <f>'[16]Key assumptions'!D22</f>
        <v>0</v>
      </c>
      <c r="F32" s="243">
        <f>'[16]Key assumptions'!E22</f>
        <v>26.4</v>
      </c>
      <c r="H32" s="246"/>
      <c r="J32" s="246"/>
      <c r="K32" s="246"/>
      <c r="L32" s="246"/>
      <c r="M32" s="245"/>
      <c r="N32" s="192"/>
      <c r="V32" s="82"/>
      <c r="W32" s="82"/>
    </row>
    <row r="33" spans="1:23" x14ac:dyDescent="0.35">
      <c r="C33" s="244" t="s">
        <v>839</v>
      </c>
      <c r="D33" s="243">
        <f>'[16]Key assumptions'!C23</f>
        <v>0</v>
      </c>
      <c r="E33" s="243">
        <f>'[16]Key assumptions'!D23</f>
        <v>0</v>
      </c>
      <c r="F33" s="243">
        <f>'[16]Key assumptions'!E23</f>
        <v>50.9</v>
      </c>
      <c r="H33" s="246"/>
      <c r="J33" s="246"/>
      <c r="K33" s="246"/>
      <c r="L33" s="246"/>
      <c r="M33" s="245"/>
      <c r="N33" s="192"/>
      <c r="V33" s="82"/>
      <c r="W33" s="82"/>
    </row>
    <row r="34" spans="1:23" x14ac:dyDescent="0.35">
      <c r="C34" s="244"/>
      <c r="D34" s="243">
        <f>'[16]Key assumptions'!C24</f>
        <v>0</v>
      </c>
      <c r="E34" s="243">
        <f>'[16]Key assumptions'!D24</f>
        <v>0</v>
      </c>
      <c r="F34" s="243">
        <f>'[16]Key assumptions'!E24</f>
        <v>1.928030303030303</v>
      </c>
      <c r="H34" s="92"/>
      <c r="J34" s="92"/>
      <c r="K34" s="92"/>
      <c r="L34" s="92"/>
      <c r="V34" s="82"/>
      <c r="W34" s="82"/>
    </row>
    <row r="35" spans="1:23" x14ac:dyDescent="0.35">
      <c r="C35" s="193"/>
      <c r="D35" s="192"/>
      <c r="E35" s="192"/>
      <c r="F35" s="192"/>
      <c r="H35" s="92"/>
      <c r="J35" s="92"/>
      <c r="K35" s="92"/>
      <c r="L35" s="92"/>
      <c r="V35" s="82"/>
      <c r="W35" s="82"/>
    </row>
    <row r="36" spans="1:23" s="190" customFormat="1" x14ac:dyDescent="0.35">
      <c r="A36" s="191" t="s">
        <v>838</v>
      </c>
      <c r="B36" s="191"/>
    </row>
    <row r="37" spans="1:23" ht="16.5" outlineLevel="1" thickBot="1" x14ac:dyDescent="0.4"/>
    <row r="38" spans="1:23" ht="35.450000000000003" customHeight="1" outlineLevel="1" thickBot="1" x14ac:dyDescent="0.4">
      <c r="C38" s="242"/>
      <c r="D38" s="471" t="s">
        <v>837</v>
      </c>
      <c r="E38" s="472"/>
      <c r="F38" s="473"/>
      <c r="G38" s="470" t="s">
        <v>836</v>
      </c>
      <c r="H38" s="468"/>
      <c r="I38" s="469"/>
      <c r="J38" s="470" t="s">
        <v>805</v>
      </c>
      <c r="K38" s="469"/>
      <c r="L38" s="470" t="s">
        <v>803</v>
      </c>
      <c r="M38" s="469"/>
    </row>
    <row r="39" spans="1:23" outlineLevel="1" x14ac:dyDescent="0.35">
      <c r="C39" s="241"/>
      <c r="D39" s="240">
        <v>2014</v>
      </c>
      <c r="E39" s="238"/>
      <c r="F39" s="239">
        <v>2014</v>
      </c>
      <c r="G39" s="238" t="s">
        <v>835</v>
      </c>
      <c r="H39" s="238"/>
      <c r="I39" s="238"/>
      <c r="J39" s="238" t="s">
        <v>834</v>
      </c>
      <c r="K39" s="238">
        <v>2018</v>
      </c>
      <c r="L39" s="238" t="s">
        <v>705</v>
      </c>
      <c r="M39" s="238">
        <v>2019</v>
      </c>
    </row>
    <row r="40" spans="1:23" outlineLevel="1" x14ac:dyDescent="0.35">
      <c r="C40" s="234" t="s">
        <v>833</v>
      </c>
      <c r="D40" s="233">
        <v>0.14199999999999999</v>
      </c>
      <c r="E40" s="232"/>
      <c r="F40" s="237">
        <f t="shared" ref="F40:F45" si="2">D40/$D$62</f>
        <v>0.25818181818181807</v>
      </c>
      <c r="G40" s="83">
        <v>543389</v>
      </c>
      <c r="H40" s="83"/>
      <c r="I40" s="230">
        <f>G40/$G$62</f>
        <v>0.15886897269132089</v>
      </c>
      <c r="J40" s="83">
        <v>219</v>
      </c>
      <c r="K40" s="86">
        <f t="shared" ref="K40:K62" si="3">J40/$J$62</f>
        <v>0.21661721068249259</v>
      </c>
      <c r="L40" s="83">
        <v>215</v>
      </c>
      <c r="M40" s="86">
        <f>L40/$L$62</f>
        <v>0.21673387096774194</v>
      </c>
    </row>
    <row r="41" spans="1:23" outlineLevel="1" x14ac:dyDescent="0.35">
      <c r="C41" s="234" t="s">
        <v>832</v>
      </c>
      <c r="D41" s="233">
        <v>9.0999999999999998E-2</v>
      </c>
      <c r="E41" s="232"/>
      <c r="F41" s="231">
        <f t="shared" si="2"/>
        <v>0.16545454545454541</v>
      </c>
      <c r="G41" s="229">
        <v>460527.1</v>
      </c>
      <c r="H41" s="229"/>
      <c r="I41" s="230">
        <f>G41/$G$62</f>
        <v>0.13464289353209802</v>
      </c>
      <c r="J41" s="229">
        <v>188</v>
      </c>
      <c r="K41" s="86">
        <f t="shared" si="3"/>
        <v>0.18595450049455983</v>
      </c>
      <c r="L41" s="83">
        <v>184</v>
      </c>
      <c r="M41" s="86">
        <f>L41/$L$62</f>
        <v>0.18548387096774194</v>
      </c>
    </row>
    <row r="42" spans="1:23" outlineLevel="1" x14ac:dyDescent="0.35">
      <c r="C42" s="234" t="s">
        <v>831</v>
      </c>
      <c r="D42" s="233">
        <v>2.1000000000000001E-2</v>
      </c>
      <c r="E42" s="232"/>
      <c r="F42" s="231">
        <f t="shared" si="2"/>
        <v>3.8181818181818171E-2</v>
      </c>
      <c r="G42" s="229"/>
      <c r="H42" s="229"/>
      <c r="I42" s="230"/>
      <c r="J42" s="229">
        <v>100</v>
      </c>
      <c r="K42" s="86">
        <f t="shared" si="3"/>
        <v>9.8911968348170135E-2</v>
      </c>
      <c r="L42" s="83">
        <v>98</v>
      </c>
      <c r="M42" s="86">
        <f>L42/$L$62</f>
        <v>9.8790322580645157E-2</v>
      </c>
    </row>
    <row r="43" spans="1:23" outlineLevel="1" x14ac:dyDescent="0.35">
      <c r="C43" s="234" t="s">
        <v>830</v>
      </c>
      <c r="D43" s="217"/>
      <c r="E43" s="216"/>
      <c r="F43" s="231">
        <f t="shared" si="2"/>
        <v>0</v>
      </c>
      <c r="G43" s="236"/>
      <c r="H43" s="236"/>
      <c r="I43" s="230"/>
      <c r="J43" s="236"/>
      <c r="K43" s="86">
        <f t="shared" si="3"/>
        <v>0</v>
      </c>
      <c r="L43" s="83"/>
      <c r="M43" s="86"/>
    </row>
    <row r="44" spans="1:23" outlineLevel="1" x14ac:dyDescent="0.35">
      <c r="C44" s="235" t="s">
        <v>829</v>
      </c>
      <c r="D44" s="233">
        <v>1.4999999999999999E-2</v>
      </c>
      <c r="E44" s="232"/>
      <c r="F44" s="231">
        <f t="shared" si="2"/>
        <v>2.7272727272727264E-2</v>
      </c>
      <c r="G44" s="229">
        <v>135378.4</v>
      </c>
      <c r="H44" s="229"/>
      <c r="I44" s="230">
        <f>G44/$G$62</f>
        <v>3.9580166938592273E-2</v>
      </c>
      <c r="J44" s="229">
        <v>45</v>
      </c>
      <c r="K44" s="86">
        <f t="shared" si="3"/>
        <v>4.4510385756676561E-2</v>
      </c>
      <c r="L44" s="83">
        <v>44</v>
      </c>
      <c r="M44" s="86">
        <f>L44/$L$62</f>
        <v>4.4354838709677422E-2</v>
      </c>
    </row>
    <row r="45" spans="1:23" outlineLevel="1" x14ac:dyDescent="0.35">
      <c r="C45" s="235" t="s">
        <v>828</v>
      </c>
      <c r="D45" s="233">
        <v>2.8000000000000001E-2</v>
      </c>
      <c r="E45" s="232"/>
      <c r="F45" s="231">
        <f t="shared" si="2"/>
        <v>5.0909090909090897E-2</v>
      </c>
      <c r="G45" s="229">
        <v>184185</v>
      </c>
      <c r="H45" s="229"/>
      <c r="I45" s="230">
        <f>G45/$G$62</f>
        <v>5.3849602651417194E-2</v>
      </c>
      <c r="J45" s="229">
        <v>61</v>
      </c>
      <c r="K45" s="86">
        <f t="shared" si="3"/>
        <v>6.0336300692383778E-2</v>
      </c>
      <c r="L45" s="83">
        <v>60</v>
      </c>
      <c r="M45" s="86">
        <f>L45/$L$62</f>
        <v>6.0483870967741937E-2</v>
      </c>
    </row>
    <row r="46" spans="1:23" outlineLevel="1" x14ac:dyDescent="0.35">
      <c r="C46" s="235" t="s">
        <v>827</v>
      </c>
      <c r="D46" s="233"/>
      <c r="E46" s="232"/>
      <c r="F46" s="231"/>
      <c r="G46" s="229">
        <v>12144</v>
      </c>
      <c r="H46" s="229"/>
      <c r="I46" s="230">
        <f>G46/$G$62</f>
        <v>3.5505039748014791E-3</v>
      </c>
      <c r="J46" s="229"/>
      <c r="K46" s="86">
        <f t="shared" si="3"/>
        <v>0</v>
      </c>
      <c r="L46" s="83"/>
      <c r="M46" s="86"/>
    </row>
    <row r="47" spans="1:23" outlineLevel="1" x14ac:dyDescent="0.35">
      <c r="C47" s="234" t="s">
        <v>814</v>
      </c>
      <c r="D47" s="217"/>
      <c r="E47" s="216"/>
      <c r="F47" s="231">
        <f t="shared" ref="F47:F54" si="4">D47/$D$62</f>
        <v>0</v>
      </c>
      <c r="G47" s="229"/>
      <c r="H47" s="229"/>
      <c r="I47" s="230"/>
      <c r="J47" s="229">
        <v>195</v>
      </c>
      <c r="K47" s="86">
        <f t="shared" si="3"/>
        <v>0.19287833827893175</v>
      </c>
      <c r="L47" s="83">
        <v>192</v>
      </c>
      <c r="M47" s="86">
        <f>L47/$L$62</f>
        <v>0.19354838709677419</v>
      </c>
    </row>
    <row r="48" spans="1:23" outlineLevel="1" x14ac:dyDescent="0.35">
      <c r="C48" s="235" t="s">
        <v>763</v>
      </c>
      <c r="D48" s="233">
        <v>1.4999999999999999E-2</v>
      </c>
      <c r="E48" s="232"/>
      <c r="F48" s="231">
        <f t="shared" si="4"/>
        <v>2.7272727272727264E-2</v>
      </c>
      <c r="G48" s="229">
        <v>11265</v>
      </c>
      <c r="H48" s="229"/>
      <c r="I48" s="230">
        <f>G48/$G$62</f>
        <v>3.2935134450048308E-3</v>
      </c>
      <c r="J48" s="229"/>
      <c r="K48" s="86">
        <f t="shared" si="3"/>
        <v>0</v>
      </c>
      <c r="L48" s="83"/>
      <c r="M48" s="86"/>
    </row>
    <row r="49" spans="3:14" outlineLevel="1" x14ac:dyDescent="0.35">
      <c r="C49" s="235" t="s">
        <v>759</v>
      </c>
      <c r="D49" s="233">
        <v>9.6000000000000002E-2</v>
      </c>
      <c r="E49" s="232"/>
      <c r="F49" s="231">
        <f t="shared" si="4"/>
        <v>0.1745454545454545</v>
      </c>
      <c r="G49" s="229">
        <v>654992</v>
      </c>
      <c r="H49" s="229"/>
      <c r="I49" s="230">
        <f>G49/$G$62</f>
        <v>0.19149799896765238</v>
      </c>
      <c r="J49" s="229"/>
      <c r="K49" s="86">
        <f t="shared" si="3"/>
        <v>0</v>
      </c>
      <c r="L49" s="83"/>
      <c r="M49" s="86"/>
    </row>
    <row r="50" spans="3:14" outlineLevel="1" x14ac:dyDescent="0.35">
      <c r="C50" s="235" t="s">
        <v>826</v>
      </c>
      <c r="D50" s="233">
        <v>8.9999999999999993E-3</v>
      </c>
      <c r="E50" s="232"/>
      <c r="F50" s="231">
        <f t="shared" si="4"/>
        <v>1.6363636363636358E-2</v>
      </c>
      <c r="G50" s="229">
        <v>84822</v>
      </c>
      <c r="H50" s="229"/>
      <c r="I50" s="230">
        <f>G50/$G$62</f>
        <v>2.4799147574984443E-2</v>
      </c>
      <c r="J50" s="229"/>
      <c r="K50" s="86">
        <f t="shared" si="3"/>
        <v>0</v>
      </c>
      <c r="L50" s="83"/>
      <c r="M50" s="86"/>
    </row>
    <row r="51" spans="3:14" outlineLevel="1" x14ac:dyDescent="0.35">
      <c r="C51" s="234" t="s">
        <v>825</v>
      </c>
      <c r="D51" s="217"/>
      <c r="E51" s="216"/>
      <c r="F51" s="231">
        <f t="shared" si="4"/>
        <v>0</v>
      </c>
      <c r="G51" s="229"/>
      <c r="H51" s="229"/>
      <c r="I51" s="230"/>
      <c r="J51" s="229">
        <v>170</v>
      </c>
      <c r="K51" s="86">
        <f t="shared" si="3"/>
        <v>0.16815034619188921</v>
      </c>
      <c r="L51" s="83">
        <v>167</v>
      </c>
      <c r="M51" s="86">
        <f>L51/$L$62</f>
        <v>0.16834677419354838</v>
      </c>
    </row>
    <row r="52" spans="3:14" outlineLevel="1" x14ac:dyDescent="0.35">
      <c r="C52" s="235" t="s">
        <v>756</v>
      </c>
      <c r="D52" s="233">
        <v>1.7999999999999999E-2</v>
      </c>
      <c r="E52" s="232"/>
      <c r="F52" s="231">
        <f t="shared" si="4"/>
        <v>3.2727272727272716E-2</v>
      </c>
      <c r="G52" s="229">
        <v>336871</v>
      </c>
      <c r="H52" s="229"/>
      <c r="I52" s="230">
        <f t="shared" ref="I52:I62" si="5">G52/$G$62</f>
        <v>9.8489939434729015E-2</v>
      </c>
      <c r="J52" s="229"/>
      <c r="K52" s="86">
        <f t="shared" si="3"/>
        <v>0</v>
      </c>
      <c r="L52" s="83"/>
      <c r="M52" s="86"/>
    </row>
    <row r="53" spans="3:14" outlineLevel="1" x14ac:dyDescent="0.35">
      <c r="C53" s="235" t="s">
        <v>824</v>
      </c>
      <c r="D53" s="233">
        <v>0.02</v>
      </c>
      <c r="E53" s="232"/>
      <c r="F53" s="231">
        <f t="shared" si="4"/>
        <v>3.6363636363636355E-2</v>
      </c>
      <c r="G53" s="229"/>
      <c r="H53" s="229"/>
      <c r="I53" s="230">
        <f t="shared" si="5"/>
        <v>0</v>
      </c>
      <c r="J53" s="229"/>
      <c r="K53" s="86">
        <f t="shared" si="3"/>
        <v>0</v>
      </c>
      <c r="L53" s="83"/>
      <c r="M53" s="86"/>
    </row>
    <row r="54" spans="3:14" outlineLevel="1" x14ac:dyDescent="0.35">
      <c r="C54" s="235" t="s">
        <v>823</v>
      </c>
      <c r="D54" s="233">
        <v>2.7E-2</v>
      </c>
      <c r="E54" s="232"/>
      <c r="F54" s="231">
        <f t="shared" si="4"/>
        <v>4.9090909090909074E-2</v>
      </c>
      <c r="G54" s="236"/>
      <c r="H54" s="236"/>
      <c r="I54" s="230">
        <f t="shared" si="5"/>
        <v>0</v>
      </c>
      <c r="J54" s="236"/>
      <c r="K54" s="86">
        <f t="shared" si="3"/>
        <v>0</v>
      </c>
      <c r="L54" s="83"/>
      <c r="M54" s="86"/>
    </row>
    <row r="55" spans="3:14" outlineLevel="1" x14ac:dyDescent="0.35">
      <c r="C55" s="235" t="s">
        <v>822</v>
      </c>
      <c r="D55" s="233"/>
      <c r="E55" s="232"/>
      <c r="F55" s="231"/>
      <c r="G55" s="229">
        <v>409428</v>
      </c>
      <c r="H55" s="229"/>
      <c r="I55" s="230">
        <f t="shared" si="5"/>
        <v>0.11970320663661232</v>
      </c>
      <c r="J55" s="229"/>
      <c r="K55" s="86">
        <f t="shared" si="3"/>
        <v>0</v>
      </c>
      <c r="L55" s="83"/>
      <c r="M55" s="86"/>
    </row>
    <row r="56" spans="3:14" outlineLevel="1" x14ac:dyDescent="0.35">
      <c r="C56" s="235" t="s">
        <v>821</v>
      </c>
      <c r="D56" s="233">
        <v>7.0000000000000001E-3</v>
      </c>
      <c r="E56" s="232"/>
      <c r="F56" s="231">
        <f>D56/$D$62</f>
        <v>1.2727272727272724E-2</v>
      </c>
      <c r="G56" s="229">
        <v>10310</v>
      </c>
      <c r="H56" s="229"/>
      <c r="I56" s="230">
        <f t="shared" si="5"/>
        <v>3.014303028672863E-3</v>
      </c>
      <c r="J56" s="229"/>
      <c r="K56" s="86">
        <f t="shared" si="3"/>
        <v>0</v>
      </c>
      <c r="L56" s="83"/>
      <c r="M56" s="86"/>
    </row>
    <row r="57" spans="3:14" outlineLevel="1" x14ac:dyDescent="0.35">
      <c r="C57" s="235" t="s">
        <v>820</v>
      </c>
      <c r="D57" s="233">
        <v>7.0000000000000001E-3</v>
      </c>
      <c r="E57" s="232"/>
      <c r="F57" s="231">
        <f>D57/$D$62</f>
        <v>1.2727272727272724E-2</v>
      </c>
      <c r="G57" s="229">
        <v>109689</v>
      </c>
      <c r="H57" s="229"/>
      <c r="I57" s="230">
        <f t="shared" si="5"/>
        <v>3.2069435975955157E-2</v>
      </c>
      <c r="J57" s="229"/>
      <c r="K57" s="86">
        <f t="shared" si="3"/>
        <v>0</v>
      </c>
      <c r="L57" s="83">
        <v>32</v>
      </c>
      <c r="M57" s="86">
        <f>L57/$L$62</f>
        <v>3.2258064516129031E-2</v>
      </c>
    </row>
    <row r="58" spans="3:14" outlineLevel="1" x14ac:dyDescent="0.35">
      <c r="C58" s="235" t="s">
        <v>819</v>
      </c>
      <c r="D58" s="233">
        <v>1.4999999999999999E-2</v>
      </c>
      <c r="E58" s="232"/>
      <c r="F58" s="231">
        <f>D58/$D$62</f>
        <v>2.7272727272727264E-2</v>
      </c>
      <c r="G58" s="229">
        <v>132528</v>
      </c>
      <c r="H58" s="229"/>
      <c r="I58" s="230">
        <f t="shared" si="5"/>
        <v>3.8746804246746577E-2</v>
      </c>
      <c r="J58" s="229">
        <v>33</v>
      </c>
      <c r="K58" s="86">
        <f t="shared" si="3"/>
        <v>3.2640949554896145E-2</v>
      </c>
      <c r="L58" s="83"/>
      <c r="M58" s="86"/>
    </row>
    <row r="59" spans="3:14" outlineLevel="1" x14ac:dyDescent="0.35">
      <c r="C59" s="235" t="s">
        <v>818</v>
      </c>
      <c r="D59" s="233"/>
      <c r="E59" s="232"/>
      <c r="F59" s="231"/>
      <c r="G59" s="229">
        <v>62192</v>
      </c>
      <c r="H59" s="229"/>
      <c r="I59" s="230">
        <f t="shared" si="5"/>
        <v>1.8182883992165152E-2</v>
      </c>
      <c r="J59" s="229"/>
      <c r="K59" s="86">
        <f t="shared" si="3"/>
        <v>0</v>
      </c>
      <c r="L59" s="83"/>
      <c r="M59" s="86"/>
    </row>
    <row r="60" spans="3:14" outlineLevel="1" x14ac:dyDescent="0.35">
      <c r="C60" s="234" t="s">
        <v>817</v>
      </c>
      <c r="D60" s="233">
        <v>2.7E-2</v>
      </c>
      <c r="E60" s="232"/>
      <c r="F60" s="231">
        <f>D60/$D$62</f>
        <v>4.9090909090909074E-2</v>
      </c>
      <c r="G60" s="229">
        <v>65334</v>
      </c>
      <c r="H60" s="229"/>
      <c r="I60" s="230">
        <f t="shared" si="5"/>
        <v>1.9101500880243729E-2</v>
      </c>
      <c r="J60" s="229"/>
      <c r="K60" s="86">
        <f t="shared" si="3"/>
        <v>0</v>
      </c>
      <c r="L60" s="83"/>
      <c r="M60" s="86"/>
    </row>
    <row r="61" spans="3:14" outlineLevel="1" x14ac:dyDescent="0.35">
      <c r="C61" s="234" t="s">
        <v>816</v>
      </c>
      <c r="D61" s="233">
        <v>1.2E-2</v>
      </c>
      <c r="E61" s="232"/>
      <c r="F61" s="231">
        <f>D61/$D$62</f>
        <v>2.1818181818181813E-2</v>
      </c>
      <c r="G61" s="229">
        <v>207305</v>
      </c>
      <c r="H61" s="229"/>
      <c r="I61" s="230">
        <f t="shared" si="5"/>
        <v>6.0609126029003674E-2</v>
      </c>
      <c r="J61" s="229"/>
      <c r="K61" s="86">
        <f t="shared" si="3"/>
        <v>0</v>
      </c>
      <c r="L61" s="83"/>
      <c r="M61" s="86"/>
    </row>
    <row r="62" spans="3:14" ht="16.5" outlineLevel="1" thickBot="1" x14ac:dyDescent="0.4">
      <c r="C62" s="228"/>
      <c r="D62" s="227">
        <f>SUM(D40:D61)</f>
        <v>0.55000000000000016</v>
      </c>
      <c r="E62" s="226"/>
      <c r="F62" s="225">
        <f>SUM(F40:F61)</f>
        <v>0.99999999999999956</v>
      </c>
      <c r="G62" s="224">
        <f>SUM(G40:G61)</f>
        <v>3420359.5</v>
      </c>
      <c r="H62" s="224"/>
      <c r="I62" s="86">
        <f t="shared" si="5"/>
        <v>1</v>
      </c>
      <c r="J62" s="224">
        <f>SUM(J40:J61)</f>
        <v>1011</v>
      </c>
      <c r="K62" s="86">
        <f t="shared" si="3"/>
        <v>1</v>
      </c>
      <c r="L62" s="83">
        <f>SUM(L40:L61)</f>
        <v>992</v>
      </c>
      <c r="M62" s="86">
        <f>SUM(M40:M61)</f>
        <v>0.99999999999999989</v>
      </c>
    </row>
    <row r="63" spans="3:14" ht="16.5" outlineLevel="1" thickBot="1" x14ac:dyDescent="0.4">
      <c r="L63" s="83"/>
    </row>
    <row r="64" spans="3:14" outlineLevel="1" x14ac:dyDescent="0.35">
      <c r="C64" s="195" t="str">
        <f>C40</f>
        <v xml:space="preserve"> </v>
      </c>
      <c r="D64" s="223"/>
      <c r="E64" s="222"/>
      <c r="F64" s="220">
        <f>F40</f>
        <v>0.25818181818181807</v>
      </c>
      <c r="G64" s="218">
        <f>G40</f>
        <v>543389</v>
      </c>
      <c r="H64" s="221"/>
      <c r="I64" s="220">
        <f t="shared" ref="I64:M65" si="6">I40</f>
        <v>0.15886897269132089</v>
      </c>
      <c r="J64" s="218">
        <f t="shared" si="6"/>
        <v>219</v>
      </c>
      <c r="K64" s="219">
        <f t="shared" si="6"/>
        <v>0.21661721068249259</v>
      </c>
      <c r="L64" s="218">
        <f t="shared" si="6"/>
        <v>215</v>
      </c>
      <c r="M64" s="219">
        <f t="shared" si="6"/>
        <v>0.21673387096774194</v>
      </c>
      <c r="N64" s="218">
        <f t="shared" ref="N64:N70" si="7">L64*$D$19+L64</f>
        <v>236.69525731584258</v>
      </c>
    </row>
    <row r="65" spans="3:14" outlineLevel="1" x14ac:dyDescent="0.35">
      <c r="C65" s="195" t="str">
        <f>C41</f>
        <v>Blade</v>
      </c>
      <c r="D65" s="217"/>
      <c r="E65" s="216"/>
      <c r="F65" s="212">
        <f>F41</f>
        <v>0.16545454545454541</v>
      </c>
      <c r="G65" s="210">
        <f>G41</f>
        <v>460527.1</v>
      </c>
      <c r="H65" s="213"/>
      <c r="I65" s="212">
        <f t="shared" si="6"/>
        <v>0.13464289353209802</v>
      </c>
      <c r="J65" s="210">
        <f t="shared" si="6"/>
        <v>188</v>
      </c>
      <c r="K65" s="211">
        <f t="shared" si="6"/>
        <v>0.18595450049455983</v>
      </c>
      <c r="L65" s="210">
        <f t="shared" si="6"/>
        <v>184</v>
      </c>
      <c r="M65" s="211">
        <f t="shared" si="6"/>
        <v>0.18548387096774194</v>
      </c>
      <c r="N65" s="210">
        <f t="shared" si="7"/>
        <v>202.56710393541877</v>
      </c>
    </row>
    <row r="66" spans="3:14" outlineLevel="1" x14ac:dyDescent="0.35">
      <c r="C66" s="195" t="str">
        <f>C43</f>
        <v>Hub</v>
      </c>
      <c r="D66" s="217"/>
      <c r="E66" s="216"/>
      <c r="F66" s="212">
        <f>F44+F45</f>
        <v>7.8181818181818158E-2</v>
      </c>
      <c r="G66" s="210">
        <f>G44+G45+G46</f>
        <v>331707.40000000002</v>
      </c>
      <c r="H66" s="213"/>
      <c r="I66" s="212">
        <f>I44+I45+I46</f>
        <v>9.6980273564810954E-2</v>
      </c>
      <c r="J66" s="210">
        <f>J44+J45+J46</f>
        <v>106</v>
      </c>
      <c r="K66" s="211">
        <f>K44+K45+K46</f>
        <v>0.10484668644906034</v>
      </c>
      <c r="L66" s="210">
        <f>L44+L45</f>
        <v>104</v>
      </c>
      <c r="M66" s="211">
        <f>M44+M45</f>
        <v>0.10483870967741936</v>
      </c>
      <c r="N66" s="210">
        <f t="shared" si="7"/>
        <v>114.49445005045409</v>
      </c>
    </row>
    <row r="67" spans="3:14" outlineLevel="1" x14ac:dyDescent="0.35">
      <c r="C67" s="195" t="s">
        <v>815</v>
      </c>
      <c r="D67" s="217"/>
      <c r="E67" s="216"/>
      <c r="F67" s="212"/>
      <c r="G67" s="210"/>
      <c r="H67" s="213"/>
      <c r="I67" s="212"/>
      <c r="J67" s="210"/>
      <c r="K67" s="211"/>
      <c r="L67" s="210">
        <f>M67*J88</f>
        <v>0</v>
      </c>
      <c r="M67" s="211">
        <f>M43</f>
        <v>0</v>
      </c>
      <c r="N67" s="210">
        <f t="shared" si="7"/>
        <v>0</v>
      </c>
    </row>
    <row r="68" spans="3:14" outlineLevel="1" x14ac:dyDescent="0.35">
      <c r="C68" s="195" t="s">
        <v>814</v>
      </c>
      <c r="D68" s="217"/>
      <c r="E68" s="216"/>
      <c r="F68" s="212">
        <f>F48+F49+F50</f>
        <v>0.21818181818181812</v>
      </c>
      <c r="G68" s="210">
        <f>G48+G49+G50</f>
        <v>751079</v>
      </c>
      <c r="H68" s="213"/>
      <c r="I68" s="212">
        <f>I48+I49+I50</f>
        <v>0.21959065998764166</v>
      </c>
      <c r="J68" s="210">
        <f>J47</f>
        <v>195</v>
      </c>
      <c r="K68" s="211">
        <f>K47</f>
        <v>0.19287833827893175</v>
      </c>
      <c r="L68" s="210">
        <f>L47</f>
        <v>192</v>
      </c>
      <c r="M68" s="211">
        <f>M47</f>
        <v>0.19354838709677419</v>
      </c>
      <c r="N68" s="210">
        <f t="shared" si="7"/>
        <v>211.37436932391523</v>
      </c>
    </row>
    <row r="69" spans="3:14" outlineLevel="1" x14ac:dyDescent="0.35">
      <c r="C69" s="195" t="s">
        <v>813</v>
      </c>
      <c r="D69" s="217"/>
      <c r="E69" s="216"/>
      <c r="F69" s="212">
        <f>F52+F53+F54+F56+F57+F58</f>
        <v>0.17090909090909084</v>
      </c>
      <c r="G69" s="210">
        <f>G52+G53+G54+G55+G56+G57+G58+G59</f>
        <v>1061018</v>
      </c>
      <c r="H69" s="213"/>
      <c r="I69" s="212">
        <f>I52+I53+I54+I55+I56+I57+I58+I59</f>
        <v>0.31020657331488111</v>
      </c>
      <c r="J69" s="210">
        <f>J51+J58</f>
        <v>203</v>
      </c>
      <c r="K69" s="211">
        <f>K51+K58</f>
        <v>0.20079129574678534</v>
      </c>
      <c r="L69" s="210">
        <f>L51+L57</f>
        <v>199</v>
      </c>
      <c r="M69" s="211">
        <f>M51+M57</f>
        <v>0.20060483870967741</v>
      </c>
      <c r="N69" s="210">
        <f t="shared" si="7"/>
        <v>219.08072653884966</v>
      </c>
    </row>
    <row r="70" spans="3:14" outlineLevel="1" x14ac:dyDescent="0.35">
      <c r="C70" s="195" t="s">
        <v>200</v>
      </c>
      <c r="D70" s="215"/>
      <c r="E70" s="121"/>
      <c r="F70" s="214">
        <f>F61+F60+F42</f>
        <v>0.10909090909090907</v>
      </c>
      <c r="G70" s="210">
        <f>G60+G61+G42</f>
        <v>272639</v>
      </c>
      <c r="H70" s="213"/>
      <c r="I70" s="212">
        <f>I60+I61+I42</f>
        <v>7.9710626909247406E-2</v>
      </c>
      <c r="J70" s="210">
        <f>J42</f>
        <v>100</v>
      </c>
      <c r="K70" s="211">
        <f>K42</f>
        <v>9.8911968348170135E-2</v>
      </c>
      <c r="L70" s="210">
        <f>L42</f>
        <v>98</v>
      </c>
      <c r="M70" s="211">
        <f>M42</f>
        <v>9.8790322580645157E-2</v>
      </c>
      <c r="N70" s="210">
        <f t="shared" si="7"/>
        <v>107.88900100908174</v>
      </c>
    </row>
    <row r="71" spans="3:14" ht="16.5" outlineLevel="1" thickBot="1" x14ac:dyDescent="0.4">
      <c r="C71" s="209" t="s">
        <v>60</v>
      </c>
      <c r="D71" s="208"/>
      <c r="E71" s="207"/>
      <c r="F71" s="204">
        <f>SUM(F64:F70)</f>
        <v>0.99999999999999978</v>
      </c>
      <c r="G71" s="205">
        <f>SUM(G64:G70)</f>
        <v>3420359.5</v>
      </c>
      <c r="H71" s="206"/>
      <c r="I71" s="204">
        <f t="shared" ref="I71:N71" si="8">SUM(I64:I70)</f>
        <v>1</v>
      </c>
      <c r="J71" s="205">
        <f t="shared" si="8"/>
        <v>1011</v>
      </c>
      <c r="K71" s="204">
        <f t="shared" si="8"/>
        <v>1</v>
      </c>
      <c r="L71" s="205">
        <f t="shared" si="8"/>
        <v>992</v>
      </c>
      <c r="M71" s="204">
        <f t="shared" si="8"/>
        <v>1</v>
      </c>
      <c r="N71" s="203">
        <f t="shared" si="8"/>
        <v>1092.1009081735622</v>
      </c>
    </row>
    <row r="72" spans="3:14" ht="16.5" outlineLevel="1" thickBot="1" x14ac:dyDescent="0.4">
      <c r="C72" s="91"/>
      <c r="D72" s="91"/>
      <c r="E72" s="91"/>
      <c r="F72" s="202"/>
      <c r="G72" s="91"/>
      <c r="H72" s="91"/>
      <c r="I72" s="91"/>
    </row>
    <row r="73" spans="3:14" ht="32.25" outlineLevel="1" thickBot="1" x14ac:dyDescent="0.4">
      <c r="C73" s="109" t="s">
        <v>812</v>
      </c>
      <c r="D73" s="109" t="s">
        <v>181</v>
      </c>
      <c r="E73" s="109"/>
      <c r="F73" s="109" t="s">
        <v>811</v>
      </c>
      <c r="G73" s="467" t="s">
        <v>810</v>
      </c>
      <c r="H73" s="468"/>
      <c r="I73" s="469"/>
      <c r="J73" s="109" t="s">
        <v>809</v>
      </c>
      <c r="K73" s="109" t="s">
        <v>0</v>
      </c>
      <c r="L73" s="109" t="s">
        <v>808</v>
      </c>
    </row>
    <row r="74" spans="3:14" outlineLevel="1" x14ac:dyDescent="0.35">
      <c r="C74" s="83" t="s">
        <v>807</v>
      </c>
      <c r="D74" s="83">
        <v>3.5</v>
      </c>
      <c r="E74" s="83"/>
      <c r="F74" s="83">
        <v>90</v>
      </c>
      <c r="G74" s="83">
        <v>970</v>
      </c>
      <c r="H74" s="83"/>
      <c r="I74" s="83" t="s">
        <v>806</v>
      </c>
      <c r="J74" s="200">
        <f>G74/D17</f>
        <v>1161.3055555555554</v>
      </c>
      <c r="K74" s="201">
        <v>2018</v>
      </c>
      <c r="L74" s="200">
        <f>J74*$D$19+J74</f>
        <v>1278.4907781141383</v>
      </c>
    </row>
    <row r="75" spans="3:14" outlineLevel="1" x14ac:dyDescent="0.35">
      <c r="C75" s="83" t="s">
        <v>805</v>
      </c>
      <c r="D75" s="83">
        <v>2.4</v>
      </c>
      <c r="E75" s="83"/>
      <c r="F75" s="83">
        <v>88</v>
      </c>
      <c r="G75" s="83">
        <v>1011</v>
      </c>
      <c r="H75" s="83"/>
      <c r="I75" s="83" t="s">
        <v>804</v>
      </c>
      <c r="J75" s="200">
        <f>J71</f>
        <v>1011</v>
      </c>
      <c r="K75" s="83">
        <v>2018</v>
      </c>
      <c r="L75" s="200">
        <f>J75*$D$19+J75</f>
        <v>1113.0181634712412</v>
      </c>
    </row>
    <row r="76" spans="3:14" ht="16.5" outlineLevel="1" x14ac:dyDescent="0.35">
      <c r="C76" s="199" t="s">
        <v>803</v>
      </c>
      <c r="D76" s="83">
        <v>2.6</v>
      </c>
      <c r="E76" s="83"/>
      <c r="F76" s="83">
        <v>90</v>
      </c>
      <c r="G76" s="198">
        <v>991</v>
      </c>
      <c r="H76" s="198"/>
      <c r="I76" s="83" t="s">
        <v>802</v>
      </c>
      <c r="J76" s="198">
        <f>G76</f>
        <v>991</v>
      </c>
      <c r="K76" s="83">
        <v>2019</v>
      </c>
      <c r="L76" s="197">
        <f>J76*$D$19+J76</f>
        <v>1091</v>
      </c>
    </row>
    <row r="77" spans="3:14" ht="16.5" outlineLevel="1" thickBot="1" x14ac:dyDescent="0.4">
      <c r="C77" s="193"/>
      <c r="D77" s="192"/>
      <c r="E77" s="192"/>
      <c r="F77" s="192"/>
      <c r="G77" s="192"/>
      <c r="H77" s="192"/>
      <c r="I77" s="92"/>
      <c r="K77" s="92"/>
      <c r="L77" s="92"/>
      <c r="M77" s="92"/>
    </row>
    <row r="78" spans="3:14" ht="48" outlineLevel="1" thickBot="1" x14ac:dyDescent="0.4">
      <c r="C78" s="109" t="s">
        <v>801</v>
      </c>
      <c r="D78" s="196" t="s">
        <v>800</v>
      </c>
      <c r="E78" s="196"/>
      <c r="F78" s="196" t="s">
        <v>799</v>
      </c>
      <c r="G78" s="192"/>
      <c r="H78" s="192"/>
      <c r="I78" s="92"/>
      <c r="K78" s="92"/>
      <c r="L78" s="92"/>
      <c r="M78" s="92"/>
    </row>
    <row r="79" spans="3:14" outlineLevel="1" x14ac:dyDescent="0.35">
      <c r="C79" s="83" t="s">
        <v>798</v>
      </c>
      <c r="D79" s="194">
        <v>3.6</v>
      </c>
      <c r="E79" s="194"/>
      <c r="F79" s="194">
        <v>3.6</v>
      </c>
      <c r="G79" s="192"/>
      <c r="H79" s="192"/>
      <c r="I79" s="92"/>
      <c r="K79" s="92"/>
      <c r="L79" s="92"/>
      <c r="M79" s="92"/>
    </row>
    <row r="80" spans="3:14" outlineLevel="1" x14ac:dyDescent="0.35">
      <c r="C80" s="83" t="s">
        <v>797</v>
      </c>
      <c r="D80" s="194" t="s">
        <v>796</v>
      </c>
      <c r="E80" s="194"/>
      <c r="F80" s="194" t="s">
        <v>796</v>
      </c>
      <c r="G80" s="192"/>
      <c r="H80" s="192"/>
      <c r="I80" s="92"/>
      <c r="K80" s="92"/>
      <c r="L80" s="92"/>
      <c r="M80" s="92"/>
    </row>
    <row r="81" spans="1:31" outlineLevel="1" x14ac:dyDescent="0.35">
      <c r="C81" s="83" t="s">
        <v>795</v>
      </c>
      <c r="D81" s="194">
        <v>1138083</v>
      </c>
      <c r="E81" s="194"/>
      <c r="F81" s="194">
        <v>602587</v>
      </c>
      <c r="G81" s="192"/>
      <c r="H81" s="192"/>
      <c r="I81" s="92"/>
      <c r="K81" s="92"/>
      <c r="L81" s="92"/>
      <c r="M81" s="92"/>
    </row>
    <row r="82" spans="1:31" outlineLevel="1" x14ac:dyDescent="0.35">
      <c r="C82" s="83" t="s">
        <v>794</v>
      </c>
      <c r="D82" s="194">
        <v>0</v>
      </c>
      <c r="E82" s="194"/>
      <c r="F82" s="194">
        <v>305167</v>
      </c>
      <c r="G82" s="192"/>
      <c r="H82" s="192"/>
      <c r="I82" s="92"/>
      <c r="K82" s="92"/>
      <c r="L82" s="92"/>
      <c r="M82" s="92"/>
    </row>
    <row r="83" spans="1:31" outlineLevel="1" x14ac:dyDescent="0.35">
      <c r="C83" s="195" t="s">
        <v>793</v>
      </c>
      <c r="D83" s="194">
        <f>D81</f>
        <v>1138083</v>
      </c>
      <c r="E83" s="194"/>
      <c r="F83" s="194">
        <f>F82+F81</f>
        <v>907754</v>
      </c>
      <c r="G83" s="192"/>
      <c r="H83" s="192"/>
      <c r="I83" s="92"/>
      <c r="K83" s="92"/>
      <c r="L83" s="92"/>
      <c r="M83" s="92"/>
    </row>
    <row r="84" spans="1:31" outlineLevel="1" x14ac:dyDescent="0.35">
      <c r="C84" s="195" t="s">
        <v>792</v>
      </c>
      <c r="D84" s="194">
        <v>1</v>
      </c>
      <c r="E84" s="194"/>
      <c r="F84" s="194">
        <f>F83/D83</f>
        <v>0.79761669403725388</v>
      </c>
      <c r="G84" s="192"/>
      <c r="H84" s="192"/>
      <c r="I84" s="92"/>
      <c r="K84" s="92"/>
      <c r="L84" s="92"/>
      <c r="M84" s="92"/>
    </row>
    <row r="85" spans="1:31" outlineLevel="1" x14ac:dyDescent="0.35">
      <c r="C85" s="195" t="s">
        <v>791</v>
      </c>
      <c r="D85" s="194">
        <f>D83/D86</f>
        <v>0.49616502867127715</v>
      </c>
      <c r="E85" s="194"/>
      <c r="F85" s="194">
        <f>F83/F86</f>
        <v>0.44791790025500738</v>
      </c>
      <c r="G85" s="192"/>
      <c r="H85" s="192"/>
      <c r="I85" s="92"/>
      <c r="K85" s="92"/>
      <c r="L85" s="92"/>
      <c r="M85" s="92"/>
    </row>
    <row r="86" spans="1:31" outlineLevel="1" x14ac:dyDescent="0.35">
      <c r="C86" s="195" t="s">
        <v>790</v>
      </c>
      <c r="D86" s="194">
        <v>2293759</v>
      </c>
      <c r="E86" s="194"/>
      <c r="F86" s="194">
        <v>2026608</v>
      </c>
      <c r="G86" s="192"/>
      <c r="H86" s="192"/>
      <c r="I86" s="92"/>
      <c r="K86" s="92"/>
      <c r="L86" s="92"/>
      <c r="M86" s="92"/>
    </row>
    <row r="87" spans="1:31" x14ac:dyDescent="0.35">
      <c r="C87" s="193"/>
      <c r="G87" s="192"/>
      <c r="H87" s="192"/>
      <c r="I87" s="92"/>
      <c r="K87" s="92"/>
      <c r="L87" s="92"/>
      <c r="M87" s="92"/>
    </row>
    <row r="88" spans="1:31" s="190" customFormat="1" x14ac:dyDescent="0.35">
      <c r="A88" s="191" t="s">
        <v>789</v>
      </c>
      <c r="B88" s="191"/>
    </row>
    <row r="90" spans="1:31" s="167" customFormat="1" x14ac:dyDescent="0.35">
      <c r="C90" s="167" t="s">
        <v>733</v>
      </c>
      <c r="D90" s="168" t="s">
        <v>788</v>
      </c>
      <c r="F90" s="169" t="s">
        <v>732</v>
      </c>
      <c r="G90" s="170" t="s">
        <v>719</v>
      </c>
      <c r="H90" s="169"/>
      <c r="I90" s="169"/>
      <c r="J90" s="169"/>
      <c r="K90" s="169"/>
      <c r="L90" s="169"/>
      <c r="M90" s="169"/>
      <c r="N90" s="169"/>
      <c r="P90" s="169" t="s">
        <v>731</v>
      </c>
      <c r="Q90" s="168" t="s">
        <v>787</v>
      </c>
    </row>
    <row r="91" spans="1:31" ht="16.5" outlineLevel="1" thickBot="1" x14ac:dyDescent="0.4"/>
    <row r="92" spans="1:31" s="166" customFormat="1" ht="79.5" outlineLevel="1" thickBot="1" x14ac:dyDescent="0.25">
      <c r="C92" s="109" t="s">
        <v>639</v>
      </c>
      <c r="D92" s="110" t="s">
        <v>638</v>
      </c>
      <c r="E92" s="110"/>
      <c r="F92" s="109" t="s">
        <v>786</v>
      </c>
      <c r="G92" s="109" t="s">
        <v>636</v>
      </c>
      <c r="H92" s="109"/>
      <c r="I92" s="109" t="s">
        <v>635</v>
      </c>
      <c r="J92" s="109" t="s">
        <v>634</v>
      </c>
      <c r="K92" s="109" t="s">
        <v>632</v>
      </c>
      <c r="L92" s="109" t="s">
        <v>631</v>
      </c>
      <c r="M92" s="109" t="s">
        <v>630</v>
      </c>
      <c r="N92" s="109" t="s">
        <v>629</v>
      </c>
      <c r="O92" s="109" t="s">
        <v>628</v>
      </c>
      <c r="Q92" s="109" t="s">
        <v>730</v>
      </c>
      <c r="R92" s="109" t="s">
        <v>728</v>
      </c>
      <c r="S92" s="109" t="s">
        <v>727</v>
      </c>
      <c r="U92" s="109" t="s">
        <v>729</v>
      </c>
      <c r="V92" s="109" t="s">
        <v>728</v>
      </c>
      <c r="W92" s="109" t="s">
        <v>727</v>
      </c>
      <c r="X92" s="109" t="s">
        <v>457</v>
      </c>
      <c r="Y92" s="109" t="s">
        <v>727</v>
      </c>
      <c r="Z92" s="109" t="s">
        <v>457</v>
      </c>
    </row>
    <row r="93" spans="1:31" ht="63.75" outlineLevel="1" thickBot="1" x14ac:dyDescent="0.4">
      <c r="C93" s="106" t="str">
        <f>C81</f>
        <v>Shop fabrication of steel tube and flange rings</v>
      </c>
      <c r="D93" s="105">
        <v>1</v>
      </c>
      <c r="E93" s="104"/>
      <c r="F93" s="103">
        <f>D93*$F102</f>
        <v>106.67548116432459</v>
      </c>
      <c r="G93" s="101" t="s">
        <v>613</v>
      </c>
      <c r="H93" s="101"/>
      <c r="I93" s="102">
        <v>1</v>
      </c>
      <c r="J93" s="101" t="str">
        <f>'[17]From SAM'!B27</f>
        <v>Basic iron and steel</v>
      </c>
      <c r="K93" s="145">
        <f>IF(F93=0,"",VLOOKUP(J93,'[17]From SAM'!$B$2:$C$52,2,))</f>
        <v>9.7044444371923971E-2</v>
      </c>
      <c r="L93" s="101" t="s">
        <v>712</v>
      </c>
      <c r="M93" s="99">
        <f t="shared" ref="M93:M101" si="9">IF(L93="E",$F$29,IF(L93="C",$F$24,""))</f>
        <v>2.4354066985645932</v>
      </c>
      <c r="N93" s="100">
        <f t="shared" ref="N93:N101" si="10">IF(O93="","",O93/F93-1)</f>
        <v>0.13929824550993875</v>
      </c>
      <c r="O93" s="99">
        <f t="shared" ref="O93:O101" si="11">IF(F93=0,"",(K93*F93*M93*I93)+(F93-F93*K93*I93))</f>
        <v>121.53518852944353</v>
      </c>
      <c r="Q93" s="146" t="s">
        <v>724</v>
      </c>
      <c r="R93" s="145" t="s">
        <v>723</v>
      </c>
      <c r="U93" s="146" t="s">
        <v>724</v>
      </c>
      <c r="V93" s="145" t="s">
        <v>701</v>
      </c>
      <c r="W93" s="101"/>
      <c r="X93" s="189" t="s">
        <v>785</v>
      </c>
      <c r="Y93" s="101" t="s">
        <v>784</v>
      </c>
      <c r="Z93" s="188" t="s">
        <v>703</v>
      </c>
      <c r="AA93" s="164" t="s">
        <v>783</v>
      </c>
      <c r="AB93" s="77">
        <f>20*(D18/D16)</f>
        <v>23.944444444444443</v>
      </c>
      <c r="AC93" s="19" t="s">
        <v>782</v>
      </c>
    </row>
    <row r="94" spans="1:31" ht="32.25" outlineLevel="1" thickBot="1" x14ac:dyDescent="0.4">
      <c r="C94" s="147"/>
      <c r="D94" s="104"/>
      <c r="E94" s="104"/>
      <c r="F94" s="103">
        <f>D94*$F102</f>
        <v>0</v>
      </c>
      <c r="G94" s="101"/>
      <c r="H94" s="101"/>
      <c r="I94" s="102"/>
      <c r="J94" s="101"/>
      <c r="K94" s="145" t="str">
        <f>IF(F94=0,"",VLOOKUP(J94,'[17]From SAM'!$B$2:$C$52,2,))</f>
        <v/>
      </c>
      <c r="L94" s="101"/>
      <c r="M94" s="99" t="str">
        <f t="shared" si="9"/>
        <v/>
      </c>
      <c r="N94" s="100" t="str">
        <f t="shared" si="10"/>
        <v/>
      </c>
      <c r="O94" s="99" t="str">
        <f t="shared" si="11"/>
        <v/>
      </c>
      <c r="Q94" s="146" t="s">
        <v>718</v>
      </c>
      <c r="R94" s="145" t="s">
        <v>181</v>
      </c>
      <c r="U94" s="146" t="s">
        <v>718</v>
      </c>
      <c r="V94" s="145" t="s">
        <v>765</v>
      </c>
      <c r="W94" s="101">
        <v>300</v>
      </c>
      <c r="X94" s="187" t="s">
        <v>762</v>
      </c>
      <c r="Y94" s="101" t="s">
        <v>781</v>
      </c>
      <c r="Z94" s="187"/>
      <c r="AA94" s="164">
        <v>150</v>
      </c>
      <c r="AB94" s="77" t="s">
        <v>780</v>
      </c>
      <c r="AC94" s="77">
        <f>AA94*3</f>
        <v>450</v>
      </c>
      <c r="AD94" s="77" t="s">
        <v>181</v>
      </c>
      <c r="AE94" s="77">
        <f>1000/150*25</f>
        <v>166.66666666666669</v>
      </c>
    </row>
    <row r="95" spans="1:31" ht="48" outlineLevel="1" thickBot="1" x14ac:dyDescent="0.4">
      <c r="C95" s="147"/>
      <c r="D95" s="104"/>
      <c r="E95" s="104"/>
      <c r="F95" s="103">
        <f>D95*$F102</f>
        <v>0</v>
      </c>
      <c r="G95" s="101"/>
      <c r="H95" s="101"/>
      <c r="I95" s="102"/>
      <c r="J95" s="101"/>
      <c r="K95" s="145" t="str">
        <f>IF(F95=0,"",VLOOKUP(J95,'[17]From SAM'!$B$2:$C$52,2,))</f>
        <v/>
      </c>
      <c r="L95" s="101"/>
      <c r="M95" s="99" t="str">
        <f t="shared" si="9"/>
        <v/>
      </c>
      <c r="N95" s="100" t="str">
        <f t="shared" si="10"/>
        <v/>
      </c>
      <c r="O95" s="99" t="str">
        <f t="shared" si="11"/>
        <v/>
      </c>
      <c r="Q95" s="146" t="s">
        <v>711</v>
      </c>
      <c r="R95" s="145" t="s">
        <v>710</v>
      </c>
      <c r="U95" s="146" t="s">
        <v>711</v>
      </c>
      <c r="V95" s="145" t="s">
        <v>710</v>
      </c>
      <c r="W95" s="101">
        <v>198</v>
      </c>
      <c r="X95" s="187" t="s">
        <v>762</v>
      </c>
      <c r="Y95" s="101">
        <v>550</v>
      </c>
      <c r="Z95" s="187"/>
      <c r="AA95" s="164">
        <v>200</v>
      </c>
      <c r="AB95" s="77" t="s">
        <v>779</v>
      </c>
    </row>
    <row r="96" spans="1:31" ht="48" outlineLevel="1" thickBot="1" x14ac:dyDescent="0.4">
      <c r="C96" s="147"/>
      <c r="D96" s="104"/>
      <c r="E96" s="104"/>
      <c r="F96" s="103">
        <f>D96*$F102</f>
        <v>0</v>
      </c>
      <c r="G96" s="101"/>
      <c r="H96" s="101"/>
      <c r="I96" s="102"/>
      <c r="J96" s="101"/>
      <c r="K96" s="145" t="str">
        <f>IF(F96=0,"",VLOOKUP(J96,'[17]From SAM'!$B$2:$C$52,2,))</f>
        <v/>
      </c>
      <c r="L96" s="101"/>
      <c r="M96" s="99" t="str">
        <f t="shared" si="9"/>
        <v/>
      </c>
      <c r="N96" s="100" t="str">
        <f t="shared" si="10"/>
        <v/>
      </c>
      <c r="O96" s="99" t="str">
        <f t="shared" si="11"/>
        <v/>
      </c>
      <c r="Q96" s="146" t="s">
        <v>707</v>
      </c>
      <c r="R96" s="145" t="s">
        <v>701</v>
      </c>
      <c r="S96" s="101"/>
      <c r="U96" s="146" t="s">
        <v>706</v>
      </c>
      <c r="V96" s="145" t="s">
        <v>705</v>
      </c>
      <c r="W96" s="183">
        <f>L64*D85</f>
        <v>106.67548116432459</v>
      </c>
      <c r="X96" s="187"/>
      <c r="Y96" s="183"/>
      <c r="Z96" s="187"/>
    </row>
    <row r="97" spans="3:26" ht="48" outlineLevel="1" thickBot="1" x14ac:dyDescent="0.4">
      <c r="C97" s="147"/>
      <c r="D97" s="104"/>
      <c r="E97" s="104"/>
      <c r="F97" s="103">
        <f>D97*$F102</f>
        <v>0</v>
      </c>
      <c r="G97" s="101"/>
      <c r="H97" s="101"/>
      <c r="I97" s="102"/>
      <c r="J97" s="101"/>
      <c r="K97" s="145" t="str">
        <f>IF(F97=0,"",VLOOKUP(J97,'[17]From SAM'!$B$2:$C$52,2,))</f>
        <v/>
      </c>
      <c r="L97" s="101"/>
      <c r="M97" s="99" t="str">
        <f t="shared" si="9"/>
        <v/>
      </c>
      <c r="N97" s="100" t="str">
        <f t="shared" si="10"/>
        <v/>
      </c>
      <c r="O97" s="99" t="str">
        <f t="shared" si="11"/>
        <v/>
      </c>
      <c r="Q97" s="146" t="s">
        <v>700</v>
      </c>
      <c r="R97" s="145" t="s">
        <v>701</v>
      </c>
      <c r="S97" s="101"/>
      <c r="U97" s="146" t="s">
        <v>700</v>
      </c>
      <c r="V97" s="145" t="s">
        <v>699</v>
      </c>
      <c r="W97" s="101"/>
      <c r="X97" s="186"/>
      <c r="Y97" s="101"/>
      <c r="Z97" s="186"/>
    </row>
    <row r="98" spans="3:26" ht="63.75" outlineLevel="1" thickBot="1" x14ac:dyDescent="0.4">
      <c r="C98" s="147"/>
      <c r="D98" s="104"/>
      <c r="E98" s="104"/>
      <c r="F98" s="103">
        <f>D98*$F102</f>
        <v>0</v>
      </c>
      <c r="G98" s="101"/>
      <c r="H98" s="101"/>
      <c r="I98" s="102"/>
      <c r="J98" s="101"/>
      <c r="K98" s="145" t="str">
        <f>IF(F98=0,"",VLOOKUP(J98,'[17]From SAM'!$B$2:$C$52,2,))</f>
        <v/>
      </c>
      <c r="L98" s="101"/>
      <c r="M98" s="99" t="str">
        <f t="shared" si="9"/>
        <v/>
      </c>
      <c r="N98" s="100" t="str">
        <f t="shared" si="10"/>
        <v/>
      </c>
      <c r="O98" s="99" t="str">
        <f t="shared" si="11"/>
        <v/>
      </c>
      <c r="Q98" s="146" t="s">
        <v>697</v>
      </c>
      <c r="R98" s="145" t="s">
        <v>694</v>
      </c>
      <c r="S98" s="145" t="e">
        <f>S97/S96-1</f>
        <v>#DIV/0!</v>
      </c>
      <c r="U98" s="146" t="s">
        <v>697</v>
      </c>
      <c r="V98" s="145" t="s">
        <v>694</v>
      </c>
      <c r="W98" s="145"/>
      <c r="X98" s="186"/>
      <c r="Y98" s="145"/>
      <c r="Z98" s="186"/>
    </row>
    <row r="99" spans="3:26" ht="32.25" outlineLevel="1" thickBot="1" x14ac:dyDescent="0.4">
      <c r="C99" s="147"/>
      <c r="D99" s="104"/>
      <c r="E99" s="104"/>
      <c r="F99" s="103">
        <f>D99*$F102</f>
        <v>0</v>
      </c>
      <c r="G99" s="101"/>
      <c r="H99" s="101"/>
      <c r="I99" s="102"/>
      <c r="J99" s="101"/>
      <c r="K99" s="145" t="str">
        <f>IF(F99=0,"",VLOOKUP(J99,'[17]From SAM'!$B$2:$C$52,2,))</f>
        <v/>
      </c>
      <c r="L99" s="101"/>
      <c r="M99" s="99" t="str">
        <f t="shared" si="9"/>
        <v/>
      </c>
      <c r="N99" s="100" t="str">
        <f t="shared" si="10"/>
        <v/>
      </c>
      <c r="O99" s="99" t="str">
        <f t="shared" si="11"/>
        <v/>
      </c>
      <c r="Q99" s="146" t="s">
        <v>695</v>
      </c>
      <c r="R99" s="145" t="s">
        <v>694</v>
      </c>
      <c r="S99" s="101"/>
      <c r="U99" s="146" t="s">
        <v>695</v>
      </c>
      <c r="V99" s="145" t="s">
        <v>694</v>
      </c>
      <c r="W99" s="101"/>
      <c r="X99" s="186"/>
      <c r="Y99" s="101"/>
      <c r="Z99" s="186"/>
    </row>
    <row r="100" spans="3:26" ht="16.5" outlineLevel="1" thickBot="1" x14ac:dyDescent="0.4">
      <c r="C100" s="147"/>
      <c r="D100" s="104"/>
      <c r="E100" s="104"/>
      <c r="F100" s="103">
        <f>D100*$F102</f>
        <v>0</v>
      </c>
      <c r="G100" s="101"/>
      <c r="H100" s="101"/>
      <c r="I100" s="102"/>
      <c r="J100" s="101"/>
      <c r="K100" s="145" t="str">
        <f>IF(F100=0,"",VLOOKUP(J100,'[17]From SAM'!$B$2:$C$52,2,))</f>
        <v/>
      </c>
      <c r="L100" s="101"/>
      <c r="M100" s="99" t="str">
        <f t="shared" si="9"/>
        <v/>
      </c>
      <c r="N100" s="100" t="str">
        <f t="shared" si="10"/>
        <v/>
      </c>
      <c r="O100" s="99" t="str">
        <f t="shared" si="11"/>
        <v/>
      </c>
      <c r="Y100" s="77">
        <f>1000/3</f>
        <v>333.33333333333331</v>
      </c>
    </row>
    <row r="101" spans="3:26" ht="16.5" outlineLevel="1" thickBot="1" x14ac:dyDescent="0.4">
      <c r="C101" s="147"/>
      <c r="D101" s="104"/>
      <c r="E101" s="104"/>
      <c r="F101" s="103">
        <f>D101*$F102</f>
        <v>0</v>
      </c>
      <c r="G101" s="101"/>
      <c r="H101" s="101"/>
      <c r="I101" s="102"/>
      <c r="J101" s="101"/>
      <c r="K101" s="145" t="str">
        <f>IF(F101=0,"",VLOOKUP(J101,'[17]From SAM'!$B$2:$C$52,2,))</f>
        <v/>
      </c>
      <c r="L101" s="101"/>
      <c r="M101" s="99" t="str">
        <f t="shared" si="9"/>
        <v/>
      </c>
      <c r="N101" s="100" t="str">
        <f t="shared" si="10"/>
        <v/>
      </c>
      <c r="O101" s="99" t="str">
        <f t="shared" si="11"/>
        <v/>
      </c>
      <c r="Q101" s="159" t="s">
        <v>691</v>
      </c>
      <c r="R101" s="158" t="str">
        <f>R96</f>
        <v>US$</v>
      </c>
      <c r="S101" s="158">
        <f>S96</f>
        <v>0</v>
      </c>
    </row>
    <row r="102" spans="3:26" s="91" customFormat="1" ht="16.5" outlineLevel="1" thickBot="1" x14ac:dyDescent="0.4">
      <c r="C102" s="157" t="s">
        <v>690</v>
      </c>
      <c r="D102" s="156">
        <f>SUM(D93:D101)</f>
        <v>1</v>
      </c>
      <c r="E102" s="156"/>
      <c r="F102" s="155">
        <f>S103</f>
        <v>106.67548116432459</v>
      </c>
      <c r="G102" s="101"/>
      <c r="H102" s="101"/>
      <c r="I102" s="154"/>
      <c r="J102" s="153"/>
      <c r="K102" s="145"/>
      <c r="L102" s="153"/>
      <c r="M102" s="153"/>
      <c r="N102" s="152">
        <f>O102/F102-1</f>
        <v>0.13929824550993875</v>
      </c>
      <c r="O102" s="151">
        <f>SUM(O93:O101)</f>
        <v>121.53518852944353</v>
      </c>
      <c r="Q102" s="146" t="s">
        <v>689</v>
      </c>
      <c r="R102" s="145" t="str">
        <f>R101</f>
        <v>US$</v>
      </c>
      <c r="S102" s="185">
        <f>W96</f>
        <v>106.67548116432459</v>
      </c>
      <c r="T102" s="149" t="s">
        <v>778</v>
      </c>
      <c r="U102" s="77"/>
      <c r="V102" s="77"/>
      <c r="W102" s="77"/>
      <c r="X102" s="77"/>
    </row>
    <row r="103" spans="3:26" ht="48" outlineLevel="1" thickBot="1" x14ac:dyDescent="0.4">
      <c r="C103" s="146"/>
      <c r="D103" s="148"/>
      <c r="E103" s="148"/>
      <c r="F103" s="147" t="str">
        <f>C76</f>
        <v>https://www.nrel.gov/docs/fy21osti/78471.pdf</v>
      </c>
      <c r="G103" s="147"/>
      <c r="H103" s="147"/>
      <c r="I103" s="147"/>
      <c r="J103" s="147"/>
      <c r="K103" s="147"/>
      <c r="L103" s="147"/>
      <c r="M103" s="147"/>
      <c r="N103" s="145"/>
      <c r="O103" s="145"/>
      <c r="Q103" s="146" t="s">
        <v>686</v>
      </c>
      <c r="R103" s="145" t="str">
        <f>R102</f>
        <v>US$</v>
      </c>
      <c r="S103" s="184">
        <f>S102</f>
        <v>106.67548116432459</v>
      </c>
      <c r="T103" s="143" t="s">
        <v>685</v>
      </c>
    </row>
    <row r="105" spans="3:26" s="167" customFormat="1" x14ac:dyDescent="0.35">
      <c r="C105" s="167" t="s">
        <v>733</v>
      </c>
      <c r="D105" s="168" t="s">
        <v>777</v>
      </c>
      <c r="F105" s="169" t="s">
        <v>732</v>
      </c>
      <c r="G105" s="170" t="s">
        <v>705</v>
      </c>
      <c r="H105" s="169"/>
      <c r="I105" s="169"/>
      <c r="J105" s="169"/>
      <c r="K105" s="169"/>
      <c r="L105" s="169"/>
      <c r="M105" s="169"/>
      <c r="N105" s="169"/>
      <c r="P105" s="169" t="s">
        <v>731</v>
      </c>
      <c r="Q105" s="168"/>
    </row>
    <row r="106" spans="3:26" ht="16.5" outlineLevel="1" thickBot="1" x14ac:dyDescent="0.4"/>
    <row r="107" spans="3:26" s="166" customFormat="1" ht="79.5" outlineLevel="1" thickBot="1" x14ac:dyDescent="0.25">
      <c r="C107" s="109" t="s">
        <v>639</v>
      </c>
      <c r="D107" s="110" t="s">
        <v>638</v>
      </c>
      <c r="E107" s="110"/>
      <c r="F107" s="109" t="s">
        <v>637</v>
      </c>
      <c r="G107" s="109" t="s">
        <v>636</v>
      </c>
      <c r="H107" s="109"/>
      <c r="I107" s="109" t="s">
        <v>635</v>
      </c>
      <c r="J107" s="109" t="s">
        <v>634</v>
      </c>
      <c r="K107" s="109" t="s">
        <v>632</v>
      </c>
      <c r="L107" s="109" t="s">
        <v>631</v>
      </c>
      <c r="M107" s="109" t="s">
        <v>630</v>
      </c>
      <c r="N107" s="109" t="s">
        <v>629</v>
      </c>
      <c r="O107" s="109" t="s">
        <v>628</v>
      </c>
      <c r="Q107" s="109" t="s">
        <v>730</v>
      </c>
      <c r="R107" s="109" t="s">
        <v>728</v>
      </c>
      <c r="S107" s="109" t="s">
        <v>727</v>
      </c>
      <c r="U107" s="109" t="s">
        <v>729</v>
      </c>
      <c r="V107" s="109" t="s">
        <v>728</v>
      </c>
      <c r="W107" s="109" t="s">
        <v>727</v>
      </c>
      <c r="X107" s="109" t="s">
        <v>457</v>
      </c>
    </row>
    <row r="108" spans="3:26" ht="63.75" outlineLevel="1" thickBot="1" x14ac:dyDescent="0.4">
      <c r="C108" s="106" t="str">
        <f>C81</f>
        <v>Shop fabrication of steel tube and flange rings</v>
      </c>
      <c r="D108" s="105">
        <f>F81/F83</f>
        <v>0.66382191651042022</v>
      </c>
      <c r="E108" s="104"/>
      <c r="F108" s="103">
        <f>D108*$F117</f>
        <v>50.989728612594419</v>
      </c>
      <c r="G108" s="101" t="s">
        <v>613</v>
      </c>
      <c r="H108" s="101"/>
      <c r="I108" s="102">
        <v>1</v>
      </c>
      <c r="J108" s="101" t="str">
        <f>'[17]From SAM'!B27</f>
        <v>Basic iron and steel</v>
      </c>
      <c r="K108" s="145">
        <f>IF(F108=0,"",VLOOKUP(J108,'[17]From SAM'!$B$2:$C$52,2,))</f>
        <v>9.7044444371923971E-2</v>
      </c>
      <c r="L108" s="101" t="s">
        <v>712</v>
      </c>
      <c r="M108" s="99">
        <f t="shared" ref="M108:M116" si="12">IF(L108="E",$F$29,IF(L108="C",$F$24,""))</f>
        <v>2.4354066985645932</v>
      </c>
      <c r="N108" s="100">
        <f t="shared" ref="N108:N116" si="13">IF(O108="","",O108/F108-1)</f>
        <v>0.13929824550993875</v>
      </c>
      <c r="O108" s="99">
        <f t="shared" ref="O108:O116" si="14">IF(F108=0,"",(K108*F108*M108*I108)+(F108-F108*K108*I108))</f>
        <v>58.092508347356741</v>
      </c>
      <c r="Q108" s="146" t="s">
        <v>724</v>
      </c>
      <c r="R108" s="145" t="s">
        <v>701</v>
      </c>
      <c r="S108" s="101"/>
      <c r="U108" s="146" t="s">
        <v>724</v>
      </c>
      <c r="V108" s="145" t="s">
        <v>701</v>
      </c>
      <c r="W108" s="101"/>
      <c r="X108" s="101"/>
    </row>
    <row r="109" spans="3:26" ht="32.25" outlineLevel="1" thickBot="1" x14ac:dyDescent="0.4">
      <c r="C109" s="147" t="str">
        <f>C82</f>
        <v>Tower concrete fabrication</v>
      </c>
      <c r="D109" s="104">
        <f>F82/F83</f>
        <v>0.33617808348957978</v>
      </c>
      <c r="E109" s="104"/>
      <c r="F109" s="103">
        <f>D109*$F117</f>
        <v>25.822632269729684</v>
      </c>
      <c r="G109" s="101" t="s">
        <v>613</v>
      </c>
      <c r="H109" s="101"/>
      <c r="I109" s="102">
        <v>1</v>
      </c>
      <c r="J109" s="101" t="str">
        <f>'[17]From SAM'!B24</f>
        <v>Non-metallic minerals</v>
      </c>
      <c r="K109" s="145">
        <f>IF(F109=0,"",VLOOKUP(J109,'[17]From SAM'!$B$2:$C$52,2,))</f>
        <v>0.10947716642839322</v>
      </c>
      <c r="L109" s="101" t="s">
        <v>712</v>
      </c>
      <c r="M109" s="99">
        <f t="shared" si="12"/>
        <v>2.4354066985645932</v>
      </c>
      <c r="N109" s="100">
        <f t="shared" si="13"/>
        <v>0.15714425803118659</v>
      </c>
      <c r="O109" s="99">
        <f t="shared" si="14"/>
        <v>29.880510658168529</v>
      </c>
      <c r="Q109" s="146" t="s">
        <v>718</v>
      </c>
      <c r="R109" s="145" t="s">
        <v>776</v>
      </c>
      <c r="S109" s="101">
        <f>48*2*3</f>
        <v>288</v>
      </c>
      <c r="U109" s="146" t="s">
        <v>718</v>
      </c>
      <c r="V109" s="145" t="s">
        <v>181</v>
      </c>
      <c r="W109" s="101"/>
      <c r="X109" s="101"/>
    </row>
    <row r="110" spans="3:26" ht="48" outlineLevel="1" thickBot="1" x14ac:dyDescent="0.4">
      <c r="C110" s="147"/>
      <c r="D110" s="104"/>
      <c r="E110" s="104"/>
      <c r="F110" s="103">
        <f>D110*$F117</f>
        <v>0</v>
      </c>
      <c r="G110" s="101"/>
      <c r="H110" s="101"/>
      <c r="I110" s="102"/>
      <c r="J110" s="101"/>
      <c r="K110" s="145" t="str">
        <f>IF(F110=0,"",VLOOKUP(J110,'[17]From SAM'!$B$2:$C$52,2,))</f>
        <v/>
      </c>
      <c r="L110" s="101"/>
      <c r="M110" s="99" t="str">
        <f t="shared" si="12"/>
        <v/>
      </c>
      <c r="N110" s="100" t="str">
        <f t="shared" si="13"/>
        <v/>
      </c>
      <c r="O110" s="99" t="str">
        <f t="shared" si="14"/>
        <v/>
      </c>
      <c r="Q110" s="146" t="s">
        <v>711</v>
      </c>
      <c r="R110" s="145" t="s">
        <v>710</v>
      </c>
      <c r="S110" s="101">
        <v>200</v>
      </c>
      <c r="U110" s="146" t="s">
        <v>711</v>
      </c>
      <c r="V110" s="145" t="s">
        <v>710</v>
      </c>
      <c r="W110" s="101">
        <v>216</v>
      </c>
      <c r="X110" s="101" t="s">
        <v>709</v>
      </c>
    </row>
    <row r="111" spans="3:26" ht="32.25" outlineLevel="1" thickBot="1" x14ac:dyDescent="0.4">
      <c r="C111" s="147"/>
      <c r="D111" s="104"/>
      <c r="E111" s="104"/>
      <c r="F111" s="103">
        <f>D111*$F117</f>
        <v>0</v>
      </c>
      <c r="G111" s="101"/>
      <c r="H111" s="101"/>
      <c r="I111" s="102"/>
      <c r="J111" s="101"/>
      <c r="K111" s="145" t="str">
        <f>IF(F111=0,"",VLOOKUP(J111,'[17]From SAM'!$B$2:$C$52,2,))</f>
        <v/>
      </c>
      <c r="L111" s="101"/>
      <c r="M111" s="99" t="str">
        <f t="shared" si="12"/>
        <v/>
      </c>
      <c r="N111" s="100" t="str">
        <f t="shared" si="13"/>
        <v/>
      </c>
      <c r="O111" s="99" t="str">
        <f t="shared" si="14"/>
        <v/>
      </c>
      <c r="Q111" s="146" t="s">
        <v>707</v>
      </c>
      <c r="R111" s="145" t="s">
        <v>701</v>
      </c>
      <c r="S111" s="101"/>
      <c r="U111" s="146" t="s">
        <v>707</v>
      </c>
      <c r="V111" s="145" t="s">
        <v>701</v>
      </c>
      <c r="W111" s="183">
        <f>L64*F85*F84</f>
        <v>76.8123608823241</v>
      </c>
      <c r="X111" s="101"/>
    </row>
    <row r="112" spans="3:26" ht="48" outlineLevel="1" thickBot="1" x14ac:dyDescent="0.4">
      <c r="C112" s="147"/>
      <c r="D112" s="104"/>
      <c r="E112" s="104"/>
      <c r="F112" s="103">
        <f>D112*$F117</f>
        <v>0</v>
      </c>
      <c r="G112" s="101"/>
      <c r="H112" s="101"/>
      <c r="I112" s="102"/>
      <c r="J112" s="101"/>
      <c r="K112" s="145" t="str">
        <f>IF(F112=0,"",VLOOKUP(J112,'[17]From SAM'!$B$2:$C$52,2,))</f>
        <v/>
      </c>
      <c r="L112" s="101"/>
      <c r="M112" s="99" t="str">
        <f t="shared" si="12"/>
        <v/>
      </c>
      <c r="N112" s="100" t="str">
        <f t="shared" si="13"/>
        <v/>
      </c>
      <c r="O112" s="99" t="str">
        <f t="shared" si="14"/>
        <v/>
      </c>
      <c r="Q112" s="146" t="s">
        <v>700</v>
      </c>
      <c r="R112" s="145" t="s">
        <v>701</v>
      </c>
      <c r="S112" s="101"/>
      <c r="U112" s="146" t="s">
        <v>700</v>
      </c>
      <c r="V112" s="145" t="s">
        <v>699</v>
      </c>
      <c r="W112" s="101"/>
      <c r="X112" s="101"/>
    </row>
    <row r="113" spans="3:38" ht="63.75" outlineLevel="1" thickBot="1" x14ac:dyDescent="0.4">
      <c r="C113" s="147"/>
      <c r="D113" s="104"/>
      <c r="E113" s="104"/>
      <c r="F113" s="103">
        <f>D113*$F117</f>
        <v>0</v>
      </c>
      <c r="G113" s="101"/>
      <c r="H113" s="101"/>
      <c r="I113" s="102"/>
      <c r="J113" s="101"/>
      <c r="K113" s="145" t="str">
        <f>IF(F113=0,"",VLOOKUP(J113,'[17]From SAM'!$B$2:$C$52,2,))</f>
        <v/>
      </c>
      <c r="L113" s="101"/>
      <c r="M113" s="99" t="str">
        <f t="shared" si="12"/>
        <v/>
      </c>
      <c r="N113" s="100" t="str">
        <f t="shared" si="13"/>
        <v/>
      </c>
      <c r="O113" s="99" t="str">
        <f t="shared" si="14"/>
        <v/>
      </c>
      <c r="Q113" s="146" t="s">
        <v>697</v>
      </c>
      <c r="R113" s="145" t="s">
        <v>694</v>
      </c>
      <c r="S113" s="145" t="e">
        <f>S112/S111-1</f>
        <v>#DIV/0!</v>
      </c>
      <c r="U113" s="146" t="s">
        <v>697</v>
      </c>
      <c r="V113" s="145" t="s">
        <v>694</v>
      </c>
      <c r="W113" s="145">
        <f>W112/W111-1</f>
        <v>-1</v>
      </c>
      <c r="X113" s="101"/>
    </row>
    <row r="114" spans="3:38" ht="32.25" outlineLevel="1" thickBot="1" x14ac:dyDescent="0.4">
      <c r="C114" s="147"/>
      <c r="D114" s="104"/>
      <c r="E114" s="104"/>
      <c r="F114" s="103">
        <f>D114*$F117</f>
        <v>0</v>
      </c>
      <c r="G114" s="101"/>
      <c r="H114" s="101"/>
      <c r="I114" s="102"/>
      <c r="J114" s="101"/>
      <c r="K114" s="145" t="str">
        <f>IF(F114=0,"",VLOOKUP(J114,'[17]From SAM'!$B$2:$C$52,2,))</f>
        <v/>
      </c>
      <c r="L114" s="101"/>
      <c r="M114" s="99" t="str">
        <f t="shared" si="12"/>
        <v/>
      </c>
      <c r="N114" s="100" t="str">
        <f t="shared" si="13"/>
        <v/>
      </c>
      <c r="O114" s="99" t="str">
        <f t="shared" si="14"/>
        <v/>
      </c>
      <c r="Q114" s="146" t="s">
        <v>695</v>
      </c>
      <c r="R114" s="145" t="s">
        <v>694</v>
      </c>
      <c r="S114" s="101"/>
      <c r="U114" s="146" t="s">
        <v>695</v>
      </c>
      <c r="V114" s="145" t="s">
        <v>694</v>
      </c>
      <c r="W114" s="101"/>
      <c r="X114" s="101"/>
    </row>
    <row r="115" spans="3:38" ht="16.5" outlineLevel="1" thickBot="1" x14ac:dyDescent="0.4">
      <c r="C115" s="147"/>
      <c r="D115" s="104"/>
      <c r="E115" s="104"/>
      <c r="F115" s="103">
        <f>D115*$F117</f>
        <v>0</v>
      </c>
      <c r="G115" s="101"/>
      <c r="H115" s="101"/>
      <c r="I115" s="102"/>
      <c r="J115" s="101"/>
      <c r="K115" s="145" t="str">
        <f>IF(F115=0,"",VLOOKUP(J115,'[17]From SAM'!$B$2:$C$52,2,))</f>
        <v/>
      </c>
      <c r="L115" s="101"/>
      <c r="M115" s="99" t="str">
        <f t="shared" si="12"/>
        <v/>
      </c>
      <c r="N115" s="100" t="str">
        <f t="shared" si="13"/>
        <v/>
      </c>
      <c r="O115" s="99" t="str">
        <f t="shared" si="14"/>
        <v/>
      </c>
    </row>
    <row r="116" spans="3:38" ht="16.5" outlineLevel="1" thickBot="1" x14ac:dyDescent="0.4">
      <c r="C116" s="147"/>
      <c r="D116" s="104"/>
      <c r="E116" s="104"/>
      <c r="F116" s="103">
        <f>D116*$F117</f>
        <v>0</v>
      </c>
      <c r="G116" s="101"/>
      <c r="H116" s="101"/>
      <c r="I116" s="102"/>
      <c r="J116" s="101"/>
      <c r="K116" s="145" t="str">
        <f>IF(F116=0,"",VLOOKUP(J116,'[17]From SAM'!$B$2:$C$52,2,))</f>
        <v/>
      </c>
      <c r="L116" s="101"/>
      <c r="M116" s="99" t="str">
        <f t="shared" si="12"/>
        <v/>
      </c>
      <c r="N116" s="100" t="str">
        <f t="shared" si="13"/>
        <v/>
      </c>
      <c r="O116" s="99" t="str">
        <f t="shared" si="14"/>
        <v/>
      </c>
      <c r="Q116" s="159" t="s">
        <v>691</v>
      </c>
      <c r="R116" s="158" t="str">
        <f>R111</f>
        <v>US$</v>
      </c>
      <c r="S116" s="158">
        <f>S111</f>
        <v>0</v>
      </c>
    </row>
    <row r="117" spans="3:38" s="91" customFormat="1" ht="16.5" outlineLevel="1" thickBot="1" x14ac:dyDescent="0.4">
      <c r="C117" s="157" t="s">
        <v>690</v>
      </c>
      <c r="D117" s="156">
        <f>SUM(D108:D116)</f>
        <v>1</v>
      </c>
      <c r="E117" s="156"/>
      <c r="F117" s="155">
        <f>S118</f>
        <v>76.8123608823241</v>
      </c>
      <c r="G117" s="101"/>
      <c r="H117" s="101"/>
      <c r="I117" s="154"/>
      <c r="J117" s="153"/>
      <c r="K117" s="145"/>
      <c r="L117" s="153"/>
      <c r="M117" s="153"/>
      <c r="N117" s="152">
        <f>O117/F117-1</f>
        <v>0.14529768379726282</v>
      </c>
      <c r="O117" s="151">
        <f>SUM(O108:O116)</f>
        <v>87.973019005525273</v>
      </c>
      <c r="Q117" s="146" t="s">
        <v>689</v>
      </c>
      <c r="R117" s="145" t="str">
        <f>R116</f>
        <v>US$</v>
      </c>
      <c r="S117" s="182">
        <f>W111</f>
        <v>76.8123608823241</v>
      </c>
      <c r="U117" s="77"/>
      <c r="V117" s="77"/>
      <c r="W117" s="77"/>
      <c r="X117" s="77"/>
    </row>
    <row r="118" spans="3:38" ht="16.5" outlineLevel="1" thickBot="1" x14ac:dyDescent="0.4">
      <c r="C118" s="146"/>
      <c r="D118" s="148"/>
      <c r="E118" s="148"/>
      <c r="F118" s="147" t="s">
        <v>734</v>
      </c>
      <c r="G118" s="147"/>
      <c r="H118" s="147"/>
      <c r="I118" s="147" t="s">
        <v>734</v>
      </c>
      <c r="J118" s="147"/>
      <c r="K118" s="147"/>
      <c r="L118" s="147"/>
      <c r="M118" s="147"/>
      <c r="N118" s="145"/>
      <c r="O118" s="145"/>
      <c r="Q118" s="146" t="s">
        <v>686</v>
      </c>
      <c r="R118" s="145" t="str">
        <f>R117</f>
        <v>US$</v>
      </c>
      <c r="S118" s="144">
        <f>S117</f>
        <v>76.8123608823241</v>
      </c>
      <c r="T118" s="143" t="s">
        <v>775</v>
      </c>
    </row>
    <row r="119" spans="3:38" ht="17.45" customHeight="1" x14ac:dyDescent="0.35"/>
    <row r="120" spans="3:38" s="167" customFormat="1" x14ac:dyDescent="0.35">
      <c r="C120" s="167" t="s">
        <v>733</v>
      </c>
      <c r="D120" s="168" t="s">
        <v>774</v>
      </c>
      <c r="F120" s="169" t="s">
        <v>732</v>
      </c>
      <c r="G120" s="170" t="s">
        <v>705</v>
      </c>
      <c r="H120" s="169"/>
      <c r="I120" s="169"/>
      <c r="J120" s="169"/>
      <c r="K120" s="169"/>
      <c r="L120" s="169"/>
      <c r="M120" s="169"/>
      <c r="N120" s="169"/>
      <c r="P120" s="169" t="s">
        <v>731</v>
      </c>
      <c r="Q120" s="168"/>
    </row>
    <row r="121" spans="3:38" ht="16.5" outlineLevel="1" thickBot="1" x14ac:dyDescent="0.4"/>
    <row r="122" spans="3:38" s="166" customFormat="1" ht="79.5" outlineLevel="1" thickBot="1" x14ac:dyDescent="0.4">
      <c r="C122" s="109" t="s">
        <v>639</v>
      </c>
      <c r="D122" s="110" t="s">
        <v>638</v>
      </c>
      <c r="E122" s="110"/>
      <c r="F122" s="109" t="s">
        <v>637</v>
      </c>
      <c r="G122" s="109" t="s">
        <v>636</v>
      </c>
      <c r="H122" s="109"/>
      <c r="I122" s="109" t="s">
        <v>635</v>
      </c>
      <c r="J122" s="109" t="s">
        <v>634</v>
      </c>
      <c r="K122" s="109" t="s">
        <v>632</v>
      </c>
      <c r="L122" s="109" t="s">
        <v>631</v>
      </c>
      <c r="M122" s="109" t="s">
        <v>630</v>
      </c>
      <c r="N122" s="109" t="s">
        <v>629</v>
      </c>
      <c r="O122" s="109" t="s">
        <v>628</v>
      </c>
      <c r="Q122" s="109" t="s">
        <v>730</v>
      </c>
      <c r="R122" s="109" t="s">
        <v>728</v>
      </c>
      <c r="S122" s="109" t="s">
        <v>727</v>
      </c>
      <c r="U122" s="109" t="s">
        <v>729</v>
      </c>
      <c r="V122" s="109" t="s">
        <v>728</v>
      </c>
      <c r="W122" s="109" t="s">
        <v>727</v>
      </c>
      <c r="X122" s="109" t="s">
        <v>457</v>
      </c>
      <c r="Y122" s="109" t="s">
        <v>727</v>
      </c>
      <c r="Z122" s="109" t="s">
        <v>457</v>
      </c>
      <c r="AC122" s="181" t="s">
        <v>773</v>
      </c>
      <c r="AD122" s="181">
        <v>300</v>
      </c>
      <c r="AE122" s="181" t="s">
        <v>772</v>
      </c>
      <c r="AF122" s="181" t="s">
        <v>771</v>
      </c>
      <c r="AG122" s="181"/>
      <c r="AH122" s="181"/>
      <c r="AK122" s="106" t="s">
        <v>770</v>
      </c>
      <c r="AL122" s="105">
        <v>4.3999999999999997E-2</v>
      </c>
    </row>
    <row r="123" spans="3:38" ht="63.75" outlineLevel="1" thickBot="1" x14ac:dyDescent="0.4">
      <c r="C123" s="106" t="str">
        <f>C42</f>
        <v>Nacelle asssembly</v>
      </c>
      <c r="D123" s="105">
        <f>F42/($F$70+$F$69+$F$68-$F$61)</f>
        <v>8.0152671755725186E-2</v>
      </c>
      <c r="E123" s="104"/>
      <c r="F123" s="103">
        <f t="shared" ref="F123:F138" si="15">D123*$F$139</f>
        <v>39.114503816793892</v>
      </c>
      <c r="G123" s="101" t="s">
        <v>613</v>
      </c>
      <c r="H123" s="101"/>
      <c r="I123" s="102">
        <v>1</v>
      </c>
      <c r="J123" s="101" t="str">
        <f>'[16]From SAM'!B2</f>
        <v xml:space="preserve">Labour </v>
      </c>
      <c r="K123" s="145">
        <f>IF(F123=0,"",VLOOKUP(J123,'[17]From SAM'!$B$2:$C$52,2,))</f>
        <v>1</v>
      </c>
      <c r="L123" s="101" t="s">
        <v>739</v>
      </c>
      <c r="M123" s="99">
        <f>IF(L123="E",$F$29,IF(L123="C",$F$24,""))</f>
        <v>1.0761099365750528</v>
      </c>
      <c r="N123" s="100">
        <f t="shared" ref="N123:N138" si="16">IF(O123="","",O123/F123-1)</f>
        <v>7.6109936575052828E-2</v>
      </c>
      <c r="O123" s="99">
        <f>IF(F123=0,"",(K123*F123*M123*I123)+(F123-F123*K123*I123))</f>
        <v>42.091506221454736</v>
      </c>
      <c r="Q123" s="146" t="s">
        <v>724</v>
      </c>
      <c r="R123" s="145" t="s">
        <v>701</v>
      </c>
      <c r="S123" s="101"/>
      <c r="U123" s="146" t="s">
        <v>724</v>
      </c>
      <c r="V123" s="145" t="s">
        <v>701</v>
      </c>
      <c r="W123" s="180"/>
      <c r="X123" s="179" t="s">
        <v>769</v>
      </c>
      <c r="Y123" s="164" t="s">
        <v>768</v>
      </c>
      <c r="Z123" s="101" t="s">
        <v>703</v>
      </c>
      <c r="AC123" s="175"/>
      <c r="AD123" s="175">
        <v>1.6E-2</v>
      </c>
      <c r="AE123" s="175" t="s">
        <v>767</v>
      </c>
      <c r="AF123" s="175"/>
      <c r="AG123" s="175"/>
      <c r="AH123" s="175"/>
      <c r="AK123" s="147" t="s">
        <v>766</v>
      </c>
      <c r="AL123" s="105">
        <v>2.8000000000000001E-2</v>
      </c>
    </row>
    <row r="124" spans="3:38" ht="32.25" outlineLevel="1" thickBot="1" x14ac:dyDescent="0.4">
      <c r="C124" s="147" t="str">
        <f t="shared" ref="C124:C136" si="17">C48</f>
        <v>Main shaft</v>
      </c>
      <c r="D124" s="105">
        <f t="shared" ref="D124:D136" si="18">F48/($F$70+$F$69+$F$68-$F$61)</f>
        <v>5.7251908396946556E-2</v>
      </c>
      <c r="E124" s="104"/>
      <c r="F124" s="103">
        <f t="shared" si="15"/>
        <v>27.938931297709921</v>
      </c>
      <c r="G124" s="101" t="s">
        <v>613</v>
      </c>
      <c r="H124" s="101"/>
      <c r="I124" s="102">
        <v>1</v>
      </c>
      <c r="J124" s="101" t="str">
        <f>'[17]From SAM'!B27</f>
        <v>Basic iron and steel</v>
      </c>
      <c r="K124" s="145">
        <f>IF(F124=0,"",VLOOKUP(J124,'[17]From SAM'!$B$2:$C$52,2,))</f>
        <v>9.7044444371923971E-2</v>
      </c>
      <c r="L124" s="101" t="s">
        <v>739</v>
      </c>
      <c r="M124" s="99">
        <f>IF(L124="E",$F$29,IF(L124="C",$F$24,""))</f>
        <v>1.0761099365750528</v>
      </c>
      <c r="N124" s="100">
        <f t="shared" si="16"/>
        <v>7.3860465061081904E-3</v>
      </c>
      <c r="O124" s="99">
        <f>IF(F124=0,"",(K124*F124*M124*I124)+(F124-F124*K124*I124))</f>
        <v>28.14528954360577</v>
      </c>
      <c r="Q124" s="146" t="s">
        <v>718</v>
      </c>
      <c r="R124" s="145" t="s">
        <v>719</v>
      </c>
      <c r="S124" s="101"/>
      <c r="U124" s="146" t="s">
        <v>718</v>
      </c>
      <c r="V124" s="145" t="s">
        <v>765</v>
      </c>
      <c r="W124" s="101">
        <v>300</v>
      </c>
      <c r="X124" s="160" t="s">
        <v>762</v>
      </c>
      <c r="Y124" s="164" t="s">
        <v>764</v>
      </c>
      <c r="Z124" s="178"/>
      <c r="AC124" s="175"/>
      <c r="AD124" s="177">
        <f>AD123*AD122*10000000</f>
        <v>48000000</v>
      </c>
      <c r="AE124" s="175" t="s">
        <v>701</v>
      </c>
      <c r="AF124" s="175"/>
      <c r="AG124" s="175"/>
      <c r="AH124" s="175"/>
      <c r="AK124" s="147" t="s">
        <v>763</v>
      </c>
      <c r="AL124" s="105">
        <v>0.04</v>
      </c>
    </row>
    <row r="125" spans="3:38" ht="48" outlineLevel="1" thickBot="1" x14ac:dyDescent="0.4">
      <c r="C125" s="147" t="str">
        <f t="shared" si="17"/>
        <v>Gearbox</v>
      </c>
      <c r="D125" s="105">
        <f t="shared" si="18"/>
        <v>0.36641221374045801</v>
      </c>
      <c r="E125" s="104"/>
      <c r="F125" s="103">
        <f t="shared" si="15"/>
        <v>178.80916030534351</v>
      </c>
      <c r="G125" s="101" t="s">
        <v>612</v>
      </c>
      <c r="H125" s="101"/>
      <c r="I125" s="102"/>
      <c r="J125" s="101"/>
      <c r="K125" s="145"/>
      <c r="L125" s="101"/>
      <c r="M125" s="99"/>
      <c r="N125" s="100">
        <f t="shared" si="16"/>
        <v>0.1009081735620585</v>
      </c>
      <c r="O125" s="99">
        <f>F125*(1+$D$19)</f>
        <v>196.85246608792104</v>
      </c>
      <c r="Q125" s="146" t="s">
        <v>711</v>
      </c>
      <c r="R125" s="145" t="s">
        <v>710</v>
      </c>
      <c r="S125" s="101"/>
      <c r="U125" s="146" t="s">
        <v>711</v>
      </c>
      <c r="V125" s="145" t="s">
        <v>710</v>
      </c>
      <c r="W125" s="101">
        <v>206</v>
      </c>
      <c r="X125" s="160" t="s">
        <v>762</v>
      </c>
      <c r="Y125" s="164">
        <v>400</v>
      </c>
      <c r="Z125" s="101"/>
      <c r="AC125" s="175"/>
      <c r="AD125" s="175" t="s">
        <v>755</v>
      </c>
      <c r="AE125" s="175" t="s">
        <v>761</v>
      </c>
      <c r="AF125" s="175" t="s">
        <v>760</v>
      </c>
      <c r="AG125" s="175">
        <f>800/2</f>
        <v>400</v>
      </c>
      <c r="AH125" s="175" t="s">
        <v>757</v>
      </c>
      <c r="AK125" s="147" t="s">
        <v>759</v>
      </c>
      <c r="AL125" s="105">
        <v>0.34</v>
      </c>
    </row>
    <row r="126" spans="3:38" ht="48" outlineLevel="1" thickBot="1" x14ac:dyDescent="0.4">
      <c r="C126" s="147" t="str">
        <f t="shared" si="17"/>
        <v>Rotor bearings</v>
      </c>
      <c r="D126" s="105">
        <f t="shared" si="18"/>
        <v>3.4351145038167934E-2</v>
      </c>
      <c r="E126" s="104"/>
      <c r="F126" s="103">
        <f t="shared" si="15"/>
        <v>16.763358778625953</v>
      </c>
      <c r="G126" s="101" t="s">
        <v>612</v>
      </c>
      <c r="H126" s="101"/>
      <c r="I126" s="102">
        <v>1</v>
      </c>
      <c r="J126" s="101" t="str">
        <f>'[17]From SAM'!B27</f>
        <v>Basic iron and steel</v>
      </c>
      <c r="K126" s="145">
        <f>IF(F126=0,"",VLOOKUP(J126,'[17]From SAM'!$B$2:$C$52,2,))</f>
        <v>9.7044444371923971E-2</v>
      </c>
      <c r="L126" s="101" t="s">
        <v>739</v>
      </c>
      <c r="M126" s="99">
        <f>IF(L126="E",$F$29,IF(L126="C",$F$24,""))</f>
        <v>1.0761099365750528</v>
      </c>
      <c r="N126" s="100">
        <f t="shared" si="16"/>
        <v>0.1009081735620585</v>
      </c>
      <c r="O126" s="99">
        <f>F126*(1+$D$19)</f>
        <v>18.454918695742599</v>
      </c>
      <c r="Q126" s="146" t="s">
        <v>707</v>
      </c>
      <c r="R126" s="145" t="s">
        <v>701</v>
      </c>
      <c r="S126" s="101"/>
      <c r="U126" s="146" t="s">
        <v>706</v>
      </c>
      <c r="V126" s="145" t="s">
        <v>705</v>
      </c>
      <c r="W126" s="101">
        <f>L68+L69+L70</f>
        <v>489</v>
      </c>
      <c r="X126" s="160" t="s">
        <v>704</v>
      </c>
      <c r="Y126" s="162"/>
      <c r="Z126" s="160"/>
      <c r="AC126" s="175"/>
      <c r="AD126" s="175" t="s">
        <v>755</v>
      </c>
      <c r="AE126" s="175" t="s">
        <v>758</v>
      </c>
      <c r="AF126" s="175"/>
      <c r="AG126" s="175">
        <f>800*3/2</f>
        <v>1200</v>
      </c>
      <c r="AH126" s="175" t="s">
        <v>757</v>
      </c>
      <c r="AK126" s="147" t="s">
        <v>756</v>
      </c>
      <c r="AL126" s="105">
        <v>0.09</v>
      </c>
    </row>
    <row r="127" spans="3:38" ht="48" outlineLevel="1" thickBot="1" x14ac:dyDescent="0.4">
      <c r="C127" s="147" t="str">
        <f t="shared" si="17"/>
        <v>Nacelle - interior</v>
      </c>
      <c r="D127" s="105">
        <f t="shared" si="18"/>
        <v>0</v>
      </c>
      <c r="E127" s="104"/>
      <c r="F127" s="103">
        <f t="shared" si="15"/>
        <v>0</v>
      </c>
      <c r="G127" s="101" t="s">
        <v>612</v>
      </c>
      <c r="H127" s="101"/>
      <c r="I127" s="102"/>
      <c r="J127" s="101"/>
      <c r="K127" s="145" t="str">
        <f>IF(F127=0,"",VLOOKUP(J127,'[17]From SAM'!$B$2:$C$52,2,))</f>
        <v/>
      </c>
      <c r="L127" s="101"/>
      <c r="M127" s="99" t="str">
        <f>IF(L127="E",$F$29,IF(L127="C",$F$24,""))</f>
        <v/>
      </c>
      <c r="N127" s="100" t="str">
        <f t="shared" si="16"/>
        <v/>
      </c>
      <c r="O127" s="99" t="str">
        <f>IF(F127=0,"",(K127*F127*M127*I127)+(F127-F127*K127*I127))</f>
        <v/>
      </c>
      <c r="Q127" s="146" t="s">
        <v>700</v>
      </c>
      <c r="R127" s="145" t="s">
        <v>701</v>
      </c>
      <c r="S127" s="101"/>
      <c r="U127" s="146" t="s">
        <v>700</v>
      </c>
      <c r="V127" s="145" t="s">
        <v>699</v>
      </c>
      <c r="W127" s="176"/>
      <c r="X127" s="101"/>
      <c r="Y127" s="161"/>
      <c r="Z127" s="160"/>
      <c r="AC127" s="175"/>
      <c r="AD127" s="175" t="s">
        <v>755</v>
      </c>
      <c r="AE127" s="175" t="s">
        <v>754</v>
      </c>
      <c r="AF127" s="175"/>
      <c r="AG127" s="175">
        <f>800/2</f>
        <v>400</v>
      </c>
      <c r="AH127" s="175" t="s">
        <v>753</v>
      </c>
      <c r="AK127" s="147" t="s">
        <v>752</v>
      </c>
      <c r="AL127" s="105">
        <v>8.3849230769230773E-2</v>
      </c>
    </row>
    <row r="128" spans="3:38" ht="63.75" outlineLevel="1" thickBot="1" x14ac:dyDescent="0.4">
      <c r="C128" s="147" t="str">
        <f t="shared" si="17"/>
        <v>Generator</v>
      </c>
      <c r="D128" s="105">
        <f t="shared" si="18"/>
        <v>6.8702290076335867E-2</v>
      </c>
      <c r="E128" s="104"/>
      <c r="F128" s="103">
        <f t="shared" si="15"/>
        <v>33.526717557251906</v>
      </c>
      <c r="G128" s="101" t="s">
        <v>612</v>
      </c>
      <c r="H128" s="101"/>
      <c r="I128" s="102">
        <v>1</v>
      </c>
      <c r="J128" s="101" t="str">
        <f>'[17]From SAM'!B31</f>
        <v>Electrical machinery</v>
      </c>
      <c r="K128" s="145">
        <f>IF(F128=0,"",VLOOKUP(J128,'[17]From SAM'!$B$2:$C$52,2,))</f>
        <v>0.13001734713264965</v>
      </c>
      <c r="L128" s="101" t="s">
        <v>739</v>
      </c>
      <c r="M128" s="99">
        <f>IF(L128="E",$F$29,IF(L128="C",$F$24,""))</f>
        <v>1.0761099365750528</v>
      </c>
      <c r="N128" s="100">
        <f t="shared" si="16"/>
        <v>0.1009081735620585</v>
      </c>
      <c r="O128" s="99">
        <f>F128*(1+$D$19)</f>
        <v>36.909837391485198</v>
      </c>
      <c r="Q128" s="146" t="s">
        <v>697</v>
      </c>
      <c r="R128" s="145" t="s">
        <v>694</v>
      </c>
      <c r="S128" s="145" t="e">
        <f>S127/S126-1</f>
        <v>#DIV/0!</v>
      </c>
      <c r="U128" s="146" t="s">
        <v>697</v>
      </c>
      <c r="V128" s="145" t="s">
        <v>694</v>
      </c>
      <c r="W128" s="145"/>
      <c r="X128" s="101"/>
      <c r="Y128" s="145"/>
      <c r="Z128" s="101"/>
      <c r="AK128" s="147" t="s">
        <v>751</v>
      </c>
      <c r="AL128" s="105">
        <v>6.0084102564102564E-2</v>
      </c>
    </row>
    <row r="129" spans="3:38" ht="32.25" outlineLevel="1" thickBot="1" x14ac:dyDescent="0.4">
      <c r="C129" s="147" t="str">
        <f t="shared" si="17"/>
        <v>Tranformer</v>
      </c>
      <c r="D129" s="105">
        <f t="shared" si="18"/>
        <v>7.6335877862595422E-2</v>
      </c>
      <c r="E129" s="104"/>
      <c r="F129" s="103">
        <f t="shared" si="15"/>
        <v>37.251908396946568</v>
      </c>
      <c r="G129" s="101" t="s">
        <v>613</v>
      </c>
      <c r="H129" s="101"/>
      <c r="I129" s="102">
        <v>1</v>
      </c>
      <c r="J129" s="101" t="str">
        <f>'[17]From SAM'!B31</f>
        <v>Electrical machinery</v>
      </c>
      <c r="K129" s="145">
        <f>IF(F129=0,"",VLOOKUP(J129,'[17]From SAM'!$B$2:$C$52,2,))</f>
        <v>0.13001734713264965</v>
      </c>
      <c r="L129" s="101" t="s">
        <v>739</v>
      </c>
      <c r="M129" s="99">
        <f>IF(L129="E",$F$29,IF(L129="C",$F$24,""))</f>
        <v>1.0761099365750528</v>
      </c>
      <c r="N129" s="100">
        <f t="shared" si="16"/>
        <v>9.8956120439224193E-3</v>
      </c>
      <c r="O129" s="99">
        <f>IF(F129=0,"",(K129*F129*M129*I129)+(F129-F129*K129*I129))</f>
        <v>37.620538830338489</v>
      </c>
      <c r="Q129" s="146" t="s">
        <v>695</v>
      </c>
      <c r="R129" s="145" t="s">
        <v>694</v>
      </c>
      <c r="S129" s="101"/>
      <c r="U129" s="146" t="s">
        <v>695</v>
      </c>
      <c r="V129" s="145" t="s">
        <v>694</v>
      </c>
      <c r="W129" s="101"/>
      <c r="X129" s="101"/>
      <c r="Y129" s="101"/>
      <c r="Z129" s="101"/>
      <c r="AK129" s="147" t="s">
        <v>750</v>
      </c>
      <c r="AL129" s="105">
        <v>1.6066666666666667E-2</v>
      </c>
    </row>
    <row r="130" spans="3:38" ht="16.5" outlineLevel="1" thickBot="1" x14ac:dyDescent="0.4">
      <c r="C130" s="147" t="str">
        <f t="shared" si="17"/>
        <v>Power inverter</v>
      </c>
      <c r="D130" s="105">
        <f t="shared" si="18"/>
        <v>0.10305343511450381</v>
      </c>
      <c r="E130" s="104"/>
      <c r="F130" s="103">
        <f t="shared" si="15"/>
        <v>50.290076335877856</v>
      </c>
      <c r="G130" s="101" t="s">
        <v>612</v>
      </c>
      <c r="H130" s="101"/>
      <c r="I130" s="102"/>
      <c r="J130" s="101"/>
      <c r="K130" s="145"/>
      <c r="L130" s="101"/>
      <c r="M130" s="99"/>
      <c r="N130" s="100">
        <f t="shared" si="16"/>
        <v>0.1009081735620585</v>
      </c>
      <c r="O130" s="99">
        <f>F130*(1+$D$19)</f>
        <v>55.364756087227789</v>
      </c>
      <c r="AK130" s="147" t="s">
        <v>749</v>
      </c>
      <c r="AL130" s="105">
        <v>2.8000000000000001E-2</v>
      </c>
    </row>
    <row r="131" spans="3:38" ht="16.5" outlineLevel="1" thickBot="1" x14ac:dyDescent="0.4">
      <c r="C131" s="147" t="str">
        <f t="shared" si="17"/>
        <v>variable speed electronics</v>
      </c>
      <c r="D131" s="105">
        <f t="shared" si="18"/>
        <v>0</v>
      </c>
      <c r="E131" s="104"/>
      <c r="F131" s="103">
        <f t="shared" si="15"/>
        <v>0</v>
      </c>
      <c r="G131" s="101" t="s">
        <v>612</v>
      </c>
      <c r="H131" s="101"/>
      <c r="I131" s="102"/>
      <c r="J131" s="101"/>
      <c r="K131" s="145" t="str">
        <f>IF(F131=0,"",VLOOKUP(J131,'[17]From SAM'!$B$2:$C$52,2,))</f>
        <v/>
      </c>
      <c r="L131" s="101"/>
      <c r="M131" s="99" t="str">
        <f t="shared" ref="M131:M138" si="19">IF(L131="E",$F$29,IF(L131="C",$F$24,""))</f>
        <v/>
      </c>
      <c r="N131" s="100" t="str">
        <f t="shared" si="16"/>
        <v/>
      </c>
      <c r="O131" s="99" t="str">
        <f>IF(F131=0,"",(K131*F131*M131*I131)+(F131-F131*K131*I131))</f>
        <v/>
      </c>
      <c r="Q131" s="159" t="s">
        <v>691</v>
      </c>
      <c r="R131" s="158" t="str">
        <f>R126</f>
        <v>US$</v>
      </c>
      <c r="S131" s="158">
        <f>S126</f>
        <v>0</v>
      </c>
      <c r="AK131" s="147" t="s">
        <v>748</v>
      </c>
      <c r="AL131" s="105">
        <v>0.04</v>
      </c>
    </row>
    <row r="132" spans="3:38" ht="16.5" outlineLevel="1" thickBot="1" x14ac:dyDescent="0.4">
      <c r="C132" s="147" t="str">
        <f t="shared" si="17"/>
        <v>Brake system</v>
      </c>
      <c r="D132" s="105">
        <f t="shared" si="18"/>
        <v>2.6717557251908396E-2</v>
      </c>
      <c r="E132" s="104"/>
      <c r="F132" s="103">
        <f t="shared" si="15"/>
        <v>13.038167938931297</v>
      </c>
      <c r="G132" s="101" t="s">
        <v>612</v>
      </c>
      <c r="H132" s="101"/>
      <c r="I132" s="102">
        <v>1</v>
      </c>
      <c r="J132" s="101" t="str">
        <f>'[17]From SAM'!B30</f>
        <v>General machinery</v>
      </c>
      <c r="K132" s="145">
        <f>IF(F132=0,"",VLOOKUP(J132,'[17]From SAM'!$B$2:$C$52,2,))</f>
        <v>0.21461586851831049</v>
      </c>
      <c r="L132" s="101" t="s">
        <v>739</v>
      </c>
      <c r="M132" s="99">
        <f t="shared" si="19"/>
        <v>1.0761099365750528</v>
      </c>
      <c r="N132" s="100">
        <f t="shared" si="16"/>
        <v>0.1009081735620585</v>
      </c>
      <c r="O132" s="99">
        <f>F132*(1+$D$19)</f>
        <v>14.353825652244243</v>
      </c>
      <c r="Q132" s="146" t="s">
        <v>689</v>
      </c>
      <c r="R132" s="145" t="str">
        <f>R131</f>
        <v>US$</v>
      </c>
      <c r="S132" s="150">
        <f>W126</f>
        <v>489</v>
      </c>
      <c r="T132" s="149" t="s">
        <v>688</v>
      </c>
      <c r="AK132" s="147" t="s">
        <v>747</v>
      </c>
      <c r="AL132" s="105">
        <v>1.7999999999999999E-2</v>
      </c>
    </row>
    <row r="133" spans="3:38" ht="16.5" outlineLevel="1" thickBot="1" x14ac:dyDescent="0.4">
      <c r="C133" s="147" t="str">
        <f t="shared" si="17"/>
        <v>Yaw system</v>
      </c>
      <c r="D133" s="105">
        <f t="shared" si="18"/>
        <v>2.6717557251908396E-2</v>
      </c>
      <c r="E133" s="104"/>
      <c r="F133" s="103">
        <f t="shared" si="15"/>
        <v>13.038167938931297</v>
      </c>
      <c r="G133" s="101" t="s">
        <v>612</v>
      </c>
      <c r="H133" s="101"/>
      <c r="I133" s="102">
        <v>1</v>
      </c>
      <c r="J133" s="101" t="str">
        <f>'[17]From SAM'!B30</f>
        <v>General machinery</v>
      </c>
      <c r="K133" s="145">
        <f>IF(F133=0,"",VLOOKUP(J133,'[17]From SAM'!$B$2:$C$52,2,))</f>
        <v>0.21461586851831049</v>
      </c>
      <c r="L133" s="101" t="s">
        <v>739</v>
      </c>
      <c r="M133" s="99">
        <f t="shared" si="19"/>
        <v>1.0761099365750528</v>
      </c>
      <c r="N133" s="100">
        <f t="shared" si="16"/>
        <v>0.1009081735620585</v>
      </c>
      <c r="O133" s="99">
        <f>F133*(1+$D$19)</f>
        <v>14.353825652244243</v>
      </c>
      <c r="Q133" s="146" t="s">
        <v>686</v>
      </c>
      <c r="R133" s="145" t="str">
        <f>R132</f>
        <v>US$</v>
      </c>
      <c r="S133" s="101">
        <v>488</v>
      </c>
      <c r="T133" s="143" t="s">
        <v>685</v>
      </c>
      <c r="AK133" s="147" t="s">
        <v>746</v>
      </c>
      <c r="AL133" s="105">
        <v>2.3640000000000001E-2</v>
      </c>
    </row>
    <row r="134" spans="3:38" ht="16.5" outlineLevel="1" thickBot="1" x14ac:dyDescent="0.4">
      <c r="C134" s="147" t="str">
        <f t="shared" si="17"/>
        <v>Mainfraim</v>
      </c>
      <c r="D134" s="105">
        <f t="shared" si="18"/>
        <v>5.7251908396946556E-2</v>
      </c>
      <c r="E134" s="104"/>
      <c r="F134" s="103">
        <f t="shared" si="15"/>
        <v>27.938931297709921</v>
      </c>
      <c r="G134" s="101" t="s">
        <v>612</v>
      </c>
      <c r="H134" s="101"/>
      <c r="I134" s="102">
        <v>1</v>
      </c>
      <c r="J134" s="101" t="str">
        <f>'[17]From SAM'!B27</f>
        <v>Basic iron and steel</v>
      </c>
      <c r="K134" s="145">
        <f>IF(F134=0,"",VLOOKUP(J134,'[17]From SAM'!$B$2:$C$52,2,))</f>
        <v>9.7044444371923971E-2</v>
      </c>
      <c r="L134" s="101" t="s">
        <v>739</v>
      </c>
      <c r="M134" s="99">
        <f t="shared" si="19"/>
        <v>1.0761099365750528</v>
      </c>
      <c r="N134" s="100">
        <f t="shared" si="16"/>
        <v>0.1009081735620585</v>
      </c>
      <c r="O134" s="99">
        <f>F134*(1+$D$19)</f>
        <v>30.758197826237662</v>
      </c>
      <c r="AK134" s="147" t="s">
        <v>745</v>
      </c>
      <c r="AL134" s="105">
        <v>0.03</v>
      </c>
    </row>
    <row r="135" spans="3:38" ht="16.5" outlineLevel="1" thickBot="1" x14ac:dyDescent="0.4">
      <c r="C135" s="147" t="str">
        <f t="shared" si="17"/>
        <v>Hydrolic and cooling system</v>
      </c>
      <c r="D135" s="105">
        <f t="shared" si="18"/>
        <v>0</v>
      </c>
      <c r="E135" s="104"/>
      <c r="F135" s="103">
        <f t="shared" si="15"/>
        <v>0</v>
      </c>
      <c r="G135" s="101" t="s">
        <v>612</v>
      </c>
      <c r="H135" s="101"/>
      <c r="I135" s="102"/>
      <c r="J135" s="101"/>
      <c r="K135" s="145" t="str">
        <f>IF(F135=0,"",VLOOKUP(J135,'[17]From SAM'!$B$2:$C$52,2,))</f>
        <v/>
      </c>
      <c r="L135" s="101"/>
      <c r="M135" s="99" t="str">
        <f t="shared" si="19"/>
        <v/>
      </c>
      <c r="N135" s="100" t="str">
        <f t="shared" si="16"/>
        <v/>
      </c>
      <c r="O135" s="99" t="str">
        <f>IF(F135=0,"",(K135*F135*M135*I135)+(F135-F135*K135*I135))</f>
        <v/>
      </c>
      <c r="AK135" s="147" t="s">
        <v>744</v>
      </c>
      <c r="AL135" s="105">
        <v>5.0000000000000001E-3</v>
      </c>
    </row>
    <row r="136" spans="3:38" ht="16.5" outlineLevel="1" thickBot="1" x14ac:dyDescent="0.4">
      <c r="C136" s="147" t="str">
        <f t="shared" si="17"/>
        <v>Nacelle-exterior</v>
      </c>
      <c r="D136" s="105">
        <f t="shared" si="18"/>
        <v>0.10305343511450381</v>
      </c>
      <c r="E136" s="104"/>
      <c r="F136" s="103">
        <f t="shared" si="15"/>
        <v>50.290076335877856</v>
      </c>
      <c r="G136" s="101" t="s">
        <v>613</v>
      </c>
      <c r="H136" s="101"/>
      <c r="I136" s="102">
        <v>1</v>
      </c>
      <c r="J136" s="101" t="str">
        <f>'[17]From SAM'!B30</f>
        <v>General machinery</v>
      </c>
      <c r="K136" s="145">
        <f>IF(F136=0,"",VLOOKUP(J136,'[17]From SAM'!$B$2:$C$52,2,))</f>
        <v>0.21461586851831049</v>
      </c>
      <c r="L136" s="101" t="s">
        <v>739</v>
      </c>
      <c r="M136" s="99">
        <f t="shared" si="19"/>
        <v>1.0761099365750528</v>
      </c>
      <c r="N136" s="100">
        <f t="shared" si="16"/>
        <v>1.6334400140928462E-2</v>
      </c>
      <c r="O136" s="99">
        <f>IF(F136=0,"",(K136*F136*M136*I136)+(F136-F136*K136*I136))</f>
        <v>51.111534565865924</v>
      </c>
      <c r="AK136" s="147" t="s">
        <v>743</v>
      </c>
      <c r="AL136" s="105">
        <v>6.0000000000000001E-3</v>
      </c>
    </row>
    <row r="137" spans="3:38" ht="16.5" outlineLevel="1" thickBot="1" x14ac:dyDescent="0.4">
      <c r="C137" s="147"/>
      <c r="D137" s="105"/>
      <c r="E137" s="104"/>
      <c r="F137" s="103">
        <f t="shared" si="15"/>
        <v>0</v>
      </c>
      <c r="G137" s="101"/>
      <c r="H137" s="101"/>
      <c r="I137" s="102"/>
      <c r="J137" s="101"/>
      <c r="K137" s="145" t="str">
        <f>IF(F137=0,"",VLOOKUP(J137,'[17]From SAM'!$B$2:$C$52,2,))</f>
        <v/>
      </c>
      <c r="L137" s="101"/>
      <c r="M137" s="99" t="str">
        <f t="shared" si="19"/>
        <v/>
      </c>
      <c r="N137" s="100" t="str">
        <f t="shared" si="16"/>
        <v/>
      </c>
      <c r="O137" s="99" t="str">
        <f>IF(F137=0,"",(K137*F137*M137*I137)+(F137-F137*K137*I137))</f>
        <v/>
      </c>
      <c r="AK137" s="147" t="s">
        <v>742</v>
      </c>
      <c r="AL137" s="105">
        <v>0.14735999999999999</v>
      </c>
    </row>
    <row r="138" spans="3:38" ht="16.5" outlineLevel="1" thickBot="1" x14ac:dyDescent="0.4">
      <c r="C138" s="147"/>
      <c r="D138" s="105"/>
      <c r="E138" s="104"/>
      <c r="F138" s="103">
        <f t="shared" si="15"/>
        <v>0</v>
      </c>
      <c r="G138" s="101"/>
      <c r="H138" s="101"/>
      <c r="I138" s="102"/>
      <c r="J138" s="101"/>
      <c r="K138" s="145" t="str">
        <f>IF(F138=0,"",VLOOKUP(J138,'[17]From SAM'!$B$2:$C$52,2,))</f>
        <v/>
      </c>
      <c r="L138" s="101"/>
      <c r="M138" s="99" t="str">
        <f t="shared" si="19"/>
        <v/>
      </c>
      <c r="N138" s="100" t="str">
        <f t="shared" si="16"/>
        <v/>
      </c>
      <c r="O138" s="99" t="str">
        <f>IF(F138=0,"",(K138*F138*M138*I138)+(F138-F138*K138*I138))</f>
        <v/>
      </c>
    </row>
    <row r="139" spans="3:38" s="91" customFormat="1" ht="16.5" outlineLevel="1" thickBot="1" x14ac:dyDescent="0.4">
      <c r="C139" s="157" t="s">
        <v>690</v>
      </c>
      <c r="D139" s="156">
        <f>SUM(D123:D138)</f>
        <v>1</v>
      </c>
      <c r="E139" s="156"/>
      <c r="F139" s="174">
        <f>S133</f>
        <v>488</v>
      </c>
      <c r="G139" s="101"/>
      <c r="H139" s="101"/>
      <c r="I139" s="154"/>
      <c r="J139" s="153"/>
      <c r="K139" s="145"/>
      <c r="L139" s="153"/>
      <c r="M139" s="153"/>
      <c r="N139" s="152">
        <f>O139/F139-1</f>
        <v>7.7903066709770208E-2</v>
      </c>
      <c r="O139" s="151">
        <f>SUM(O123:O138)</f>
        <v>526.01669655436785</v>
      </c>
      <c r="Q139" s="77"/>
      <c r="R139" s="77"/>
      <c r="S139" s="77"/>
      <c r="T139" s="77"/>
      <c r="U139" s="77"/>
      <c r="V139" s="77"/>
      <c r="W139" s="77"/>
      <c r="X139" s="77"/>
    </row>
    <row r="140" spans="3:38" ht="48" outlineLevel="1" thickBot="1" x14ac:dyDescent="0.4">
      <c r="C140" s="146"/>
      <c r="D140" s="148"/>
      <c r="E140" s="148"/>
      <c r="F140" s="147" t="s">
        <v>735</v>
      </c>
      <c r="G140" s="147"/>
      <c r="H140" s="147"/>
      <c r="I140" s="147" t="s">
        <v>734</v>
      </c>
      <c r="J140" s="147"/>
      <c r="K140" s="147"/>
      <c r="L140" s="147"/>
      <c r="M140" s="147"/>
      <c r="N140" s="145"/>
      <c r="O140" s="145"/>
    </row>
    <row r="142" spans="3:38" s="167" customFormat="1" ht="19.149999999999999" customHeight="1" x14ac:dyDescent="0.35">
      <c r="C142" s="167" t="s">
        <v>733</v>
      </c>
      <c r="D142" s="168" t="s">
        <v>741</v>
      </c>
      <c r="F142" s="169" t="s">
        <v>732</v>
      </c>
      <c r="G142" s="170" t="s">
        <v>705</v>
      </c>
      <c r="H142" s="169"/>
      <c r="I142" s="169"/>
      <c r="J142" s="169"/>
      <c r="K142" s="169"/>
      <c r="L142" s="169"/>
      <c r="M142" s="169"/>
      <c r="N142" s="169"/>
      <c r="P142" s="169" t="s">
        <v>731</v>
      </c>
      <c r="Q142" s="168" t="s">
        <v>740</v>
      </c>
    </row>
    <row r="143" spans="3:38" ht="16.5" outlineLevel="1" thickBot="1" x14ac:dyDescent="0.4"/>
    <row r="144" spans="3:38" s="166" customFormat="1" ht="79.5" outlineLevel="1" thickBot="1" x14ac:dyDescent="0.25">
      <c r="C144" s="109" t="s">
        <v>639</v>
      </c>
      <c r="D144" s="110" t="s">
        <v>638</v>
      </c>
      <c r="E144" s="110"/>
      <c r="F144" s="109" t="s">
        <v>637</v>
      </c>
      <c r="G144" s="109" t="s">
        <v>636</v>
      </c>
      <c r="H144" s="109"/>
      <c r="I144" s="109" t="s">
        <v>635</v>
      </c>
      <c r="J144" s="109" t="s">
        <v>634</v>
      </c>
      <c r="K144" s="109" t="s">
        <v>632</v>
      </c>
      <c r="L144" s="109" t="s">
        <v>631</v>
      </c>
      <c r="M144" s="109" t="s">
        <v>630</v>
      </c>
      <c r="N144" s="109" t="s">
        <v>629</v>
      </c>
      <c r="O144" s="109" t="s">
        <v>628</v>
      </c>
      <c r="Q144" s="109" t="s">
        <v>730</v>
      </c>
      <c r="R144" s="109" t="s">
        <v>728</v>
      </c>
      <c r="S144" s="109" t="s">
        <v>727</v>
      </c>
      <c r="U144" s="109" t="s">
        <v>729</v>
      </c>
      <c r="V144" s="109" t="s">
        <v>728</v>
      </c>
      <c r="W144" s="109" t="s">
        <v>727</v>
      </c>
      <c r="X144" s="109" t="s">
        <v>457</v>
      </c>
    </row>
    <row r="145" spans="3:31" ht="63.75" outlineLevel="1" thickBot="1" x14ac:dyDescent="0.4">
      <c r="C145" s="106" t="str">
        <f>C44</f>
        <v>Rotor hub assembly</v>
      </c>
      <c r="D145" s="105">
        <f>F44/($F$44+$F$45)</f>
        <v>0.34883720930232559</v>
      </c>
      <c r="E145" s="104"/>
      <c r="F145" s="103">
        <v>60</v>
      </c>
      <c r="G145" s="101" t="s">
        <v>613</v>
      </c>
      <c r="H145" s="101"/>
      <c r="I145" s="102">
        <v>1</v>
      </c>
      <c r="J145" s="101" t="str">
        <f>'[17]From SAM'!B30</f>
        <v>General machinery</v>
      </c>
      <c r="K145" s="145">
        <f>IF(F145=0,"",VLOOKUP(J145,'[17]From SAM'!$B$2:$C$52,2,))</f>
        <v>0.21461586851831049</v>
      </c>
      <c r="L145" s="101" t="s">
        <v>739</v>
      </c>
      <c r="M145" s="99">
        <f t="shared" ref="M145:M153" si="20">IF(L145="E",$F$29,IF(L145="C",$F$24,""))</f>
        <v>1.0761099365750528</v>
      </c>
      <c r="N145" s="100">
        <f t="shared" ref="N145:N153" si="21">IF(O145="","",O145/F145-1)</f>
        <v>1.6334400140928462E-2</v>
      </c>
      <c r="O145" s="99">
        <f t="shared" ref="O145:O153" si="22">IF(F145=0,"",(K145*F145*M145*I145)+(F145-F145*K145*I145))</f>
        <v>60.980064008455706</v>
      </c>
      <c r="Q145" s="146" t="s">
        <v>724</v>
      </c>
      <c r="R145" s="145" t="s">
        <v>701</v>
      </c>
      <c r="S145" s="101"/>
      <c r="U145" s="146" t="s">
        <v>724</v>
      </c>
      <c r="V145" s="145" t="s">
        <v>701</v>
      </c>
      <c r="W145" s="101"/>
      <c r="X145" s="101"/>
    </row>
    <row r="146" spans="3:31" ht="32.25" outlineLevel="1" thickBot="1" x14ac:dyDescent="0.4">
      <c r="C146" s="106" t="str">
        <f>C45</f>
        <v>Pitch system assembly</v>
      </c>
      <c r="D146" s="105">
        <f>F45/($F$44+$F$45)</f>
        <v>0.65116279069767447</v>
      </c>
      <c r="E146" s="104"/>
      <c r="F146" s="103">
        <v>44</v>
      </c>
      <c r="G146" s="101" t="s">
        <v>613</v>
      </c>
      <c r="H146" s="101"/>
      <c r="I146" s="102">
        <v>1</v>
      </c>
      <c r="J146" s="101" t="str">
        <f>'[17]From SAM'!B30</f>
        <v>General machinery</v>
      </c>
      <c r="K146" s="145">
        <f>IF(F146=0,"",VLOOKUP(J146,'[17]From SAM'!$B$2:$C$52,2,))</f>
        <v>0.21461586851831049</v>
      </c>
      <c r="L146" s="101" t="s">
        <v>739</v>
      </c>
      <c r="M146" s="99">
        <f t="shared" si="20"/>
        <v>1.0761099365750528</v>
      </c>
      <c r="N146" s="100">
        <f t="shared" si="21"/>
        <v>1.6334400140928684E-2</v>
      </c>
      <c r="O146" s="99">
        <f t="shared" si="22"/>
        <v>44.718713606200858</v>
      </c>
      <c r="Q146" s="146" t="s">
        <v>718</v>
      </c>
      <c r="R146" s="145" t="s">
        <v>719</v>
      </c>
      <c r="S146" s="101"/>
      <c r="U146" s="146" t="s">
        <v>718</v>
      </c>
      <c r="V146" s="145" t="s">
        <v>701</v>
      </c>
      <c r="W146" s="101"/>
      <c r="X146" s="101"/>
    </row>
    <row r="147" spans="3:31" ht="48" outlineLevel="1" thickBot="1" x14ac:dyDescent="0.4">
      <c r="C147" s="106"/>
      <c r="D147" s="105"/>
      <c r="E147" s="104"/>
      <c r="F147" s="103">
        <f>D147*$F154</f>
        <v>0</v>
      </c>
      <c r="G147" s="101"/>
      <c r="H147" s="101"/>
      <c r="I147" s="102"/>
      <c r="J147" s="101"/>
      <c r="K147" s="145" t="str">
        <f>IF(F147=0,"",VLOOKUP(J147,'[17]From SAM'!$B$2:$C$52,2,))</f>
        <v/>
      </c>
      <c r="L147" s="101"/>
      <c r="M147" s="99" t="str">
        <f t="shared" si="20"/>
        <v/>
      </c>
      <c r="N147" s="100" t="str">
        <f t="shared" si="21"/>
        <v/>
      </c>
      <c r="O147" s="99" t="str">
        <f t="shared" si="22"/>
        <v/>
      </c>
      <c r="Q147" s="146" t="s">
        <v>711</v>
      </c>
      <c r="R147" s="145" t="s">
        <v>710</v>
      </c>
      <c r="S147" s="101"/>
      <c r="U147" s="146" t="s">
        <v>711</v>
      </c>
      <c r="V147" s="145" t="s">
        <v>710</v>
      </c>
      <c r="W147" s="101"/>
      <c r="X147" s="101"/>
    </row>
    <row r="148" spans="3:31" ht="48" outlineLevel="1" thickBot="1" x14ac:dyDescent="0.4">
      <c r="C148" s="147"/>
      <c r="D148" s="105"/>
      <c r="E148" s="104"/>
      <c r="F148" s="103">
        <f>D148*$F154</f>
        <v>0</v>
      </c>
      <c r="G148" s="101"/>
      <c r="H148" s="101"/>
      <c r="I148" s="102"/>
      <c r="J148" s="101"/>
      <c r="K148" s="145" t="str">
        <f>IF(F148=0,"",VLOOKUP(J148,'[17]From SAM'!$B$2:$C$52,2,))</f>
        <v/>
      </c>
      <c r="L148" s="101"/>
      <c r="M148" s="99" t="str">
        <f t="shared" si="20"/>
        <v/>
      </c>
      <c r="N148" s="100" t="str">
        <f t="shared" si="21"/>
        <v/>
      </c>
      <c r="O148" s="99" t="str">
        <f t="shared" si="22"/>
        <v/>
      </c>
      <c r="Q148" s="146" t="s">
        <v>707</v>
      </c>
      <c r="R148" s="145" t="s">
        <v>701</v>
      </c>
      <c r="S148" s="101"/>
      <c r="U148" s="146" t="s">
        <v>707</v>
      </c>
      <c r="V148" s="145" t="s">
        <v>705</v>
      </c>
      <c r="W148" s="101">
        <v>104</v>
      </c>
      <c r="X148" s="160" t="s">
        <v>704</v>
      </c>
      <c r="Y148" s="173" t="s">
        <v>738</v>
      </c>
    </row>
    <row r="149" spans="3:31" ht="48" outlineLevel="1" thickBot="1" x14ac:dyDescent="0.4">
      <c r="C149" s="147"/>
      <c r="D149" s="105"/>
      <c r="E149" s="104"/>
      <c r="F149" s="103">
        <f>D149*$F154</f>
        <v>0</v>
      </c>
      <c r="G149" s="101"/>
      <c r="H149" s="101"/>
      <c r="I149" s="102"/>
      <c r="J149" s="101"/>
      <c r="K149" s="145" t="str">
        <f>IF(F149=0,"",VLOOKUP(J149,'[17]From SAM'!$B$2:$C$52,2,))</f>
        <v/>
      </c>
      <c r="L149" s="101"/>
      <c r="M149" s="99" t="str">
        <f t="shared" si="20"/>
        <v/>
      </c>
      <c r="N149" s="100" t="str">
        <f t="shared" si="21"/>
        <v/>
      </c>
      <c r="O149" s="99" t="str">
        <f t="shared" si="22"/>
        <v/>
      </c>
      <c r="Q149" s="146" t="s">
        <v>700</v>
      </c>
      <c r="R149" s="145" t="s">
        <v>701</v>
      </c>
      <c r="S149" s="101"/>
      <c r="U149" s="146" t="s">
        <v>700</v>
      </c>
      <c r="V149" s="145" t="s">
        <v>699</v>
      </c>
      <c r="W149" s="101"/>
      <c r="X149" s="101"/>
      <c r="Y149" s="172" t="s">
        <v>737</v>
      </c>
    </row>
    <row r="150" spans="3:31" ht="63.75" outlineLevel="1" thickBot="1" x14ac:dyDescent="0.4">
      <c r="C150" s="147"/>
      <c r="D150" s="105"/>
      <c r="E150" s="104"/>
      <c r="F150" s="103">
        <f>D150*$F154</f>
        <v>0</v>
      </c>
      <c r="G150" s="101"/>
      <c r="H150" s="101"/>
      <c r="I150" s="102"/>
      <c r="J150" s="101"/>
      <c r="K150" s="145" t="str">
        <f>IF(F150=0,"",VLOOKUP(J150,'[17]From SAM'!$B$2:$C$52,2,))</f>
        <v/>
      </c>
      <c r="L150" s="101"/>
      <c r="M150" s="99" t="str">
        <f t="shared" si="20"/>
        <v/>
      </c>
      <c r="N150" s="100" t="str">
        <f t="shared" si="21"/>
        <v/>
      </c>
      <c r="O150" s="99" t="str">
        <f t="shared" si="22"/>
        <v/>
      </c>
      <c r="Q150" s="146" t="s">
        <v>697</v>
      </c>
      <c r="R150" s="145" t="s">
        <v>694</v>
      </c>
      <c r="S150" s="145" t="e">
        <f>S149/S148-1</f>
        <v>#DIV/0!</v>
      </c>
      <c r="U150" s="146" t="s">
        <v>697</v>
      </c>
      <c r="V150" s="145" t="s">
        <v>694</v>
      </c>
      <c r="W150" s="145">
        <f>W149/W148-1</f>
        <v>-1</v>
      </c>
      <c r="X150" s="101"/>
    </row>
    <row r="151" spans="3:31" ht="32.25" outlineLevel="1" thickBot="1" x14ac:dyDescent="0.4">
      <c r="C151" s="147"/>
      <c r="D151" s="105"/>
      <c r="E151" s="104"/>
      <c r="F151" s="103">
        <f>D151*$F154</f>
        <v>0</v>
      </c>
      <c r="G151" s="101"/>
      <c r="H151" s="101"/>
      <c r="I151" s="102"/>
      <c r="J151" s="101"/>
      <c r="K151" s="145" t="str">
        <f>IF(F151=0,"",VLOOKUP(J151,'[17]From SAM'!$B$2:$C$52,2,))</f>
        <v/>
      </c>
      <c r="L151" s="101"/>
      <c r="M151" s="99" t="str">
        <f t="shared" si="20"/>
        <v/>
      </c>
      <c r="N151" s="100" t="str">
        <f t="shared" si="21"/>
        <v/>
      </c>
      <c r="O151" s="99" t="str">
        <f t="shared" si="22"/>
        <v/>
      </c>
      <c r="Q151" s="146" t="s">
        <v>695</v>
      </c>
      <c r="R151" s="145" t="s">
        <v>694</v>
      </c>
      <c r="S151" s="101"/>
      <c r="U151" s="146" t="s">
        <v>695</v>
      </c>
      <c r="V151" s="145" t="s">
        <v>694</v>
      </c>
      <c r="W151" s="101"/>
      <c r="X151" s="101"/>
    </row>
    <row r="152" spans="3:31" ht="16.5" outlineLevel="1" thickBot="1" x14ac:dyDescent="0.4">
      <c r="C152" s="147"/>
      <c r="D152" s="104"/>
      <c r="E152" s="104"/>
      <c r="F152" s="103">
        <f>D152*$F154</f>
        <v>0</v>
      </c>
      <c r="G152" s="101"/>
      <c r="H152" s="101"/>
      <c r="I152" s="102"/>
      <c r="J152" s="101"/>
      <c r="K152" s="145" t="str">
        <f>IF(F152=0,"",VLOOKUP(J152,'[17]From SAM'!$B$2:$C$52,2,))</f>
        <v/>
      </c>
      <c r="L152" s="101"/>
      <c r="M152" s="99" t="str">
        <f t="shared" si="20"/>
        <v/>
      </c>
      <c r="N152" s="100" t="str">
        <f t="shared" si="21"/>
        <v/>
      </c>
      <c r="O152" s="99" t="str">
        <f t="shared" si="22"/>
        <v/>
      </c>
    </row>
    <row r="153" spans="3:31" ht="16.5" outlineLevel="1" thickBot="1" x14ac:dyDescent="0.4">
      <c r="C153" s="147"/>
      <c r="D153" s="104"/>
      <c r="E153" s="104"/>
      <c r="F153" s="103">
        <f>D153*$F154</f>
        <v>0</v>
      </c>
      <c r="G153" s="101"/>
      <c r="H153" s="101"/>
      <c r="I153" s="102"/>
      <c r="J153" s="101"/>
      <c r="K153" s="145" t="str">
        <f>IF(F153=0,"",VLOOKUP(J153,'[17]From SAM'!$B$2:$C$52,2,))</f>
        <v/>
      </c>
      <c r="L153" s="101"/>
      <c r="M153" s="99" t="str">
        <f t="shared" si="20"/>
        <v/>
      </c>
      <c r="N153" s="100" t="str">
        <f t="shared" si="21"/>
        <v/>
      </c>
      <c r="O153" s="99" t="str">
        <f t="shared" si="22"/>
        <v/>
      </c>
      <c r="Q153" s="159" t="s">
        <v>691</v>
      </c>
      <c r="R153" s="158" t="str">
        <f>R148</f>
        <v>US$</v>
      </c>
      <c r="S153" s="158">
        <f>S148</f>
        <v>0</v>
      </c>
    </row>
    <row r="154" spans="3:31" s="91" customFormat="1" ht="16.5" outlineLevel="1" thickBot="1" x14ac:dyDescent="0.4">
      <c r="C154" s="157" t="s">
        <v>690</v>
      </c>
      <c r="D154" s="156">
        <f>SUM(D145:D153)</f>
        <v>1</v>
      </c>
      <c r="E154" s="156"/>
      <c r="F154" s="171">
        <f>S155</f>
        <v>104</v>
      </c>
      <c r="G154" s="101"/>
      <c r="H154" s="101"/>
      <c r="I154" s="154"/>
      <c r="J154" s="153"/>
      <c r="K154" s="145"/>
      <c r="L154" s="153"/>
      <c r="M154" s="153"/>
      <c r="N154" s="152">
        <f>O154/F154-1</f>
        <v>1.6334400140928462E-2</v>
      </c>
      <c r="O154" s="151">
        <f>SUM(O145:O153)</f>
        <v>105.69877761465656</v>
      </c>
      <c r="Q154" s="146" t="s">
        <v>689</v>
      </c>
      <c r="R154" s="145" t="str">
        <f>R153</f>
        <v>US$</v>
      </c>
      <c r="S154" s="145">
        <v>104</v>
      </c>
      <c r="T154" s="149" t="s">
        <v>736</v>
      </c>
      <c r="U154" s="77"/>
      <c r="V154" s="77"/>
      <c r="W154" s="77"/>
      <c r="X154" s="77"/>
    </row>
    <row r="155" spans="3:31" ht="48" outlineLevel="1" thickBot="1" x14ac:dyDescent="0.4">
      <c r="C155" s="146"/>
      <c r="D155" s="148"/>
      <c r="E155" s="148"/>
      <c r="F155" s="147" t="s">
        <v>735</v>
      </c>
      <c r="G155" s="147"/>
      <c r="H155" s="147"/>
      <c r="I155" s="147" t="s">
        <v>734</v>
      </c>
      <c r="J155" s="147"/>
      <c r="K155" s="147"/>
      <c r="L155" s="147"/>
      <c r="M155" s="147"/>
      <c r="N155" s="145"/>
      <c r="O155" s="145"/>
      <c r="Q155" s="146" t="s">
        <v>686</v>
      </c>
      <c r="R155" s="145" t="str">
        <f>R154</f>
        <v>US$</v>
      </c>
      <c r="S155" s="101">
        <v>104</v>
      </c>
      <c r="T155" s="143" t="s">
        <v>685</v>
      </c>
    </row>
    <row r="157" spans="3:31" s="167" customFormat="1" x14ac:dyDescent="0.35">
      <c r="C157" s="167" t="s">
        <v>733</v>
      </c>
      <c r="D157" s="168" t="s">
        <v>622</v>
      </c>
      <c r="F157" s="169" t="s">
        <v>732</v>
      </c>
      <c r="G157" s="170" t="s">
        <v>705</v>
      </c>
      <c r="H157" s="169"/>
      <c r="I157" s="169"/>
      <c r="J157" s="169"/>
      <c r="K157" s="169"/>
      <c r="L157" s="169"/>
      <c r="M157" s="169"/>
      <c r="N157" s="169"/>
      <c r="P157" s="169" t="s">
        <v>731</v>
      </c>
      <c r="Q157" s="168"/>
    </row>
    <row r="158" spans="3:31" ht="16.5" outlineLevel="1" thickBot="1" x14ac:dyDescent="0.4"/>
    <row r="159" spans="3:31" s="166" customFormat="1" ht="79.5" outlineLevel="1" thickBot="1" x14ac:dyDescent="0.25">
      <c r="C159" s="109" t="s">
        <v>639</v>
      </c>
      <c r="D159" s="110" t="s">
        <v>638</v>
      </c>
      <c r="E159" s="110"/>
      <c r="F159" s="109" t="s">
        <v>637</v>
      </c>
      <c r="G159" s="109" t="s">
        <v>636</v>
      </c>
      <c r="H159" s="109"/>
      <c r="I159" s="109" t="s">
        <v>635</v>
      </c>
      <c r="J159" s="109" t="s">
        <v>634</v>
      </c>
      <c r="K159" s="109" t="s">
        <v>632</v>
      </c>
      <c r="L159" s="109" t="s">
        <v>631</v>
      </c>
      <c r="M159" s="109" t="s">
        <v>630</v>
      </c>
      <c r="N159" s="109" t="s">
        <v>629</v>
      </c>
      <c r="O159" s="109" t="s">
        <v>628</v>
      </c>
      <c r="Q159" s="109" t="s">
        <v>730</v>
      </c>
      <c r="R159" s="109" t="s">
        <v>728</v>
      </c>
      <c r="S159" s="109" t="s">
        <v>727</v>
      </c>
      <c r="U159" s="109" t="s">
        <v>729</v>
      </c>
      <c r="V159" s="109" t="s">
        <v>728</v>
      </c>
      <c r="W159" s="109" t="s">
        <v>727</v>
      </c>
      <c r="X159" s="109" t="s">
        <v>457</v>
      </c>
      <c r="Y159" s="109" t="s">
        <v>727</v>
      </c>
      <c r="Z159" s="109" t="s">
        <v>457</v>
      </c>
      <c r="AE159" s="166" t="s">
        <v>726</v>
      </c>
    </row>
    <row r="160" spans="3:31" ht="63.75" outlineLevel="1" thickBot="1" x14ac:dyDescent="0.4">
      <c r="C160" s="106" t="s">
        <v>725</v>
      </c>
      <c r="D160" s="105">
        <v>0.47789362607923669</v>
      </c>
      <c r="E160" s="104"/>
      <c r="F160" s="103">
        <f>D160*$F169</f>
        <v>87.932427198579546</v>
      </c>
      <c r="G160" s="101" t="s">
        <v>612</v>
      </c>
      <c r="H160" s="101"/>
      <c r="I160" s="102"/>
      <c r="J160" s="101"/>
      <c r="K160" s="145" t="str">
        <f>IF(F160=0,"",IF(G160="N","",VLOOKUP(J160,'[17]From SAM'!$B$2:$C$52,2,)))</f>
        <v/>
      </c>
      <c r="L160" s="101"/>
      <c r="M160" s="99" t="str">
        <f>IF(L160="E",$F$29,IF(L160="C",$F$24,""))</f>
        <v/>
      </c>
      <c r="N160" s="100">
        <f t="shared" ref="N160:N168" si="23">IF(O160="","",O160/F160-1)</f>
        <v>0.1009081735620585</v>
      </c>
      <c r="O160" s="99">
        <f>F160*(1+$D$19)</f>
        <v>96.805527824066886</v>
      </c>
      <c r="Q160" s="146" t="s">
        <v>724</v>
      </c>
      <c r="R160" s="145" t="s">
        <v>701</v>
      </c>
      <c r="S160" s="101"/>
      <c r="U160" s="146" t="s">
        <v>724</v>
      </c>
      <c r="V160" s="145" t="s">
        <v>723</v>
      </c>
      <c r="W160" s="164" t="s">
        <v>722</v>
      </c>
      <c r="X160" s="101" t="s">
        <v>709</v>
      </c>
      <c r="Y160" s="164" t="s">
        <v>721</v>
      </c>
      <c r="Z160" s="163" t="s">
        <v>703</v>
      </c>
    </row>
    <row r="161" spans="1:34" ht="32.25" outlineLevel="1" thickBot="1" x14ac:dyDescent="0.4">
      <c r="C161" s="147" t="s">
        <v>720</v>
      </c>
      <c r="D161" s="104">
        <v>0.24864910468140783</v>
      </c>
      <c r="E161" s="104"/>
      <c r="F161" s="103">
        <f>D161*$F169</f>
        <v>45.751435261379044</v>
      </c>
      <c r="G161" s="101" t="s">
        <v>613</v>
      </c>
      <c r="H161" s="101"/>
      <c r="I161" s="102">
        <v>1</v>
      </c>
      <c r="J161" s="101" t="str">
        <f>'[17]From SAM'!B2</f>
        <v xml:space="preserve">Labour </v>
      </c>
      <c r="K161" s="145">
        <f>IF(F161=0,"",IF(G161="N","",VLOOKUP(J161,'[17]From SAM'!$B$2:$C$52,2,)))</f>
        <v>1</v>
      </c>
      <c r="L161" s="101" t="s">
        <v>712</v>
      </c>
      <c r="M161" s="99">
        <f>IF(L161="E",$F$29,IF(L161="C",$F$24,""))</f>
        <v>2.4354066985645932</v>
      </c>
      <c r="N161" s="100">
        <f t="shared" si="23"/>
        <v>1.4354066985645932</v>
      </c>
      <c r="O161" s="99">
        <f>IF(F161=0,"",IF(G161="N",F161,(K161*F161*M161*I161)+(F161-F161*K161*I161)))</f>
        <v>111.42335190450686</v>
      </c>
      <c r="Q161" s="146" t="s">
        <v>718</v>
      </c>
      <c r="R161" s="145" t="s">
        <v>719</v>
      </c>
      <c r="S161" s="101"/>
      <c r="U161" s="146" t="s">
        <v>718</v>
      </c>
      <c r="V161" s="145" t="s">
        <v>717</v>
      </c>
      <c r="W161" s="164">
        <v>450</v>
      </c>
      <c r="X161" s="101" t="s">
        <v>709</v>
      </c>
      <c r="Y161" s="164" t="s">
        <v>716</v>
      </c>
      <c r="Z161" s="165" t="s">
        <v>703</v>
      </c>
      <c r="AF161" s="77" t="s">
        <v>715</v>
      </c>
      <c r="AG161" s="77">
        <f>400/2.1*3</f>
        <v>571.42857142857144</v>
      </c>
      <c r="AH161" s="77" t="s">
        <v>714</v>
      </c>
    </row>
    <row r="162" spans="1:34" ht="48" outlineLevel="1" thickBot="1" x14ac:dyDescent="0.4">
      <c r="C162" s="147" t="s">
        <v>713</v>
      </c>
      <c r="D162" s="104">
        <v>7.4594718425028433E-2</v>
      </c>
      <c r="E162" s="104"/>
      <c r="F162" s="103">
        <f>D162*$F169</f>
        <v>13.725428190205232</v>
      </c>
      <c r="G162" s="101" t="s">
        <v>613</v>
      </c>
      <c r="H162" s="101"/>
      <c r="I162" s="102">
        <v>1</v>
      </c>
      <c r="J162" s="101" t="str">
        <f>'[17]From SAM'!B2</f>
        <v xml:space="preserve">Labour </v>
      </c>
      <c r="K162" s="145">
        <f>IF(F162=0,"",IF(G162="N","",VLOOKUP(J162,'[17]From SAM'!$B$2:$C$52,2,)))</f>
        <v>1</v>
      </c>
      <c r="L162" s="101" t="s">
        <v>712</v>
      </c>
      <c r="M162" s="99">
        <f>IF(L162="E",$F$29,IF(L162="C",$F$24,""))</f>
        <v>2.4354066985645932</v>
      </c>
      <c r="N162" s="100">
        <f t="shared" si="23"/>
        <v>1.4354066985645928</v>
      </c>
      <c r="O162" s="99">
        <f>IF(F162=0,"",IF(G162="N",F162,(K162*F162*M162*I162)+(F162-F162*K162*I162)))</f>
        <v>33.426999755093121</v>
      </c>
      <c r="Q162" s="146" t="s">
        <v>711</v>
      </c>
      <c r="R162" s="145" t="s">
        <v>710</v>
      </c>
      <c r="S162" s="101"/>
      <c r="U162" s="146" t="s">
        <v>711</v>
      </c>
      <c r="V162" s="145" t="s">
        <v>710</v>
      </c>
      <c r="W162" s="164">
        <v>300</v>
      </c>
      <c r="X162" s="101" t="s">
        <v>709</v>
      </c>
      <c r="Y162" s="164">
        <v>650</v>
      </c>
      <c r="Z162" s="163"/>
      <c r="AF162" s="77">
        <v>480</v>
      </c>
      <c r="AG162" s="77" t="s">
        <v>141</v>
      </c>
    </row>
    <row r="163" spans="1:34" ht="63.75" outlineLevel="1" thickBot="1" x14ac:dyDescent="0.4">
      <c r="C163" s="147" t="s">
        <v>708</v>
      </c>
      <c r="D163" s="104">
        <v>4.4978142700648456E-3</v>
      </c>
      <c r="E163" s="104"/>
      <c r="F163" s="103">
        <f>D163*$F169</f>
        <v>0.82759782569193163</v>
      </c>
      <c r="G163" s="101" t="s">
        <v>612</v>
      </c>
      <c r="H163" s="101"/>
      <c r="I163" s="102"/>
      <c r="J163" s="101"/>
      <c r="K163" s="145" t="str">
        <f>IF(F163=0,"",IF(G163="N","",VLOOKUP(J163,'[17]From SAM'!$B$2:$C$52,2,)))</f>
        <v/>
      </c>
      <c r="L163" s="101"/>
      <c r="M163" s="99"/>
      <c r="N163" s="100">
        <f t="shared" si="23"/>
        <v>0</v>
      </c>
      <c r="O163" s="99">
        <f>IF(F163=0,"",IF(G163="N",F163,(K163*F163*M163*I163)+(F163-F163*K163*I163)))</f>
        <v>0.82759782569193163</v>
      </c>
      <c r="Q163" s="146" t="s">
        <v>707</v>
      </c>
      <c r="R163" s="145" t="s">
        <v>701</v>
      </c>
      <c r="S163" s="101"/>
      <c r="U163" s="146" t="s">
        <v>706</v>
      </c>
      <c r="V163" s="145" t="s">
        <v>705</v>
      </c>
      <c r="W163" s="162">
        <f>L65</f>
        <v>184</v>
      </c>
      <c r="X163" s="160" t="s">
        <v>704</v>
      </c>
      <c r="Y163" s="162"/>
      <c r="Z163" s="160" t="s">
        <v>703</v>
      </c>
    </row>
    <row r="164" spans="1:34" ht="48" outlineLevel="1" thickBot="1" x14ac:dyDescent="0.4">
      <c r="C164" s="147" t="s">
        <v>702</v>
      </c>
      <c r="D164" s="104">
        <v>2.821175102407418E-2</v>
      </c>
      <c r="E164" s="104"/>
      <c r="F164" s="103">
        <f>D164*$F169</f>
        <v>5.1909621884296495</v>
      </c>
      <c r="G164" s="101" t="s">
        <v>612</v>
      </c>
      <c r="H164" s="101"/>
      <c r="I164" s="102"/>
      <c r="J164" s="101"/>
      <c r="K164" s="145" t="str">
        <f>IF(F164=0,"",IF(G164="N","",VLOOKUP(J164,'[17]From SAM'!$B$2:$C$52,2,)))</f>
        <v/>
      </c>
      <c r="L164" s="101"/>
      <c r="M164" s="99"/>
      <c r="N164" s="100">
        <f t="shared" si="23"/>
        <v>0.1009081735620585</v>
      </c>
      <c r="O164" s="99">
        <f>F164*(1+$D$19)</f>
        <v>5.7147727018937919</v>
      </c>
      <c r="Q164" s="146" t="s">
        <v>700</v>
      </c>
      <c r="R164" s="145" t="s">
        <v>701</v>
      </c>
      <c r="S164" s="101"/>
      <c r="U164" s="146" t="s">
        <v>700</v>
      </c>
      <c r="V164" s="145" t="s">
        <v>699</v>
      </c>
      <c r="W164" s="161"/>
      <c r="X164" s="160"/>
      <c r="Y164" s="161"/>
      <c r="Z164" s="160"/>
    </row>
    <row r="165" spans="1:34" ht="63.75" outlineLevel="1" thickBot="1" x14ac:dyDescent="0.4">
      <c r="C165" s="147" t="s">
        <v>698</v>
      </c>
      <c r="D165" s="104">
        <v>7.6931593402314494E-2</v>
      </c>
      <c r="E165" s="104"/>
      <c r="F165" s="103">
        <f>D165*$F169</f>
        <v>14.155413186025866</v>
      </c>
      <c r="G165" s="101" t="s">
        <v>612</v>
      </c>
      <c r="H165" s="101"/>
      <c r="I165" s="102"/>
      <c r="J165" s="101"/>
      <c r="K165" s="145" t="str">
        <f>IF(F165=0,"",IF(G165="N","",VLOOKUP(J165,'[17]From SAM'!$B$2:$C$52,2,)))</f>
        <v/>
      </c>
      <c r="L165" s="101"/>
      <c r="M165" s="99"/>
      <c r="N165" s="100">
        <f t="shared" si="23"/>
        <v>0.1009081735620585</v>
      </c>
      <c r="O165" s="99">
        <f>F165*(1+$D$19)</f>
        <v>15.583810076644015</v>
      </c>
      <c r="Q165" s="146" t="s">
        <v>697</v>
      </c>
      <c r="R165" s="145" t="s">
        <v>694</v>
      </c>
      <c r="S165" s="145" t="e">
        <f>S164/S163-1</f>
        <v>#DIV/0!</v>
      </c>
      <c r="U165" s="146" t="s">
        <v>697</v>
      </c>
      <c r="V165" s="145" t="s">
        <v>694</v>
      </c>
      <c r="W165" s="145"/>
      <c r="X165" s="101"/>
      <c r="Y165" s="145"/>
      <c r="Z165" s="101"/>
    </row>
    <row r="166" spans="1:34" ht="32.25" outlineLevel="1" thickBot="1" x14ac:dyDescent="0.4">
      <c r="C166" s="147" t="s">
        <v>696</v>
      </c>
      <c r="D166" s="104">
        <v>4.2282971554360293E-3</v>
      </c>
      <c r="E166" s="104"/>
      <c r="F166" s="103">
        <f>D166*$F169</f>
        <v>0.77800667660022937</v>
      </c>
      <c r="G166" s="101" t="s">
        <v>612</v>
      </c>
      <c r="H166" s="101"/>
      <c r="I166" s="102"/>
      <c r="J166" s="101"/>
      <c r="K166" s="145" t="str">
        <f>IF(F166=0,"",IF(G166="N","",VLOOKUP(J166,'[17]From SAM'!$B$2:$C$52,2,)))</f>
        <v/>
      </c>
      <c r="L166" s="101"/>
      <c r="M166" s="99"/>
      <c r="N166" s="100">
        <f t="shared" si="23"/>
        <v>0</v>
      </c>
      <c r="O166" s="99">
        <f>IF(F166=0,"",IF(G166="N",F166,(K166*F166*M166*I166)+(F166-F166*K166*I166)))</f>
        <v>0.77800667660022937</v>
      </c>
      <c r="Q166" s="146" t="s">
        <v>695</v>
      </c>
      <c r="R166" s="145" t="s">
        <v>694</v>
      </c>
      <c r="S166" s="101"/>
      <c r="U166" s="146" t="s">
        <v>695</v>
      </c>
      <c r="V166" s="145" t="s">
        <v>694</v>
      </c>
      <c r="W166" s="101"/>
      <c r="X166" s="101"/>
      <c r="Y166" s="101"/>
      <c r="Z166" s="101"/>
    </row>
    <row r="167" spans="1:34" ht="16.5" outlineLevel="1" thickBot="1" x14ac:dyDescent="0.4">
      <c r="C167" s="147" t="s">
        <v>693</v>
      </c>
      <c r="D167" s="104">
        <v>2.8667717132280793E-2</v>
      </c>
      <c r="E167" s="104"/>
      <c r="F167" s="103">
        <f>D167*$F169</f>
        <v>5.274859952339666</v>
      </c>
      <c r="G167" s="101" t="s">
        <v>612</v>
      </c>
      <c r="H167" s="101"/>
      <c r="I167" s="102"/>
      <c r="J167" s="101"/>
      <c r="K167" s="145" t="str">
        <f>IF(F167=0,"",IF(G167="N","",VLOOKUP(J167,'[17]From SAM'!$B$2:$C$52,2,)))</f>
        <v/>
      </c>
      <c r="L167" s="101"/>
      <c r="M167" s="99"/>
      <c r="N167" s="100">
        <f t="shared" si="23"/>
        <v>0</v>
      </c>
      <c r="O167" s="99">
        <f>IF(F167=0,"",IF(G167="N",F167,(K167*F167*M167*I167)+(F167-F167*K167*I167)))</f>
        <v>5.274859952339666</v>
      </c>
    </row>
    <row r="168" spans="1:34" ht="16.5" outlineLevel="1" thickBot="1" x14ac:dyDescent="0.4">
      <c r="C168" s="147" t="s">
        <v>692</v>
      </c>
      <c r="D168" s="104">
        <v>5.6325377830156849E-2</v>
      </c>
      <c r="E168" s="104"/>
      <c r="F168" s="103">
        <f>D168*$F169</f>
        <v>10.36386952074886</v>
      </c>
      <c r="G168" s="101" t="s">
        <v>612</v>
      </c>
      <c r="H168" s="101"/>
      <c r="I168" s="102"/>
      <c r="J168" s="101"/>
      <c r="K168" s="145" t="str">
        <f>IF(F168=0,"",IF(G168="N","",VLOOKUP(J168,'[17]From SAM'!$B$2:$C$52,2,)))</f>
        <v/>
      </c>
      <c r="L168" s="101"/>
      <c r="M168" s="99" t="str">
        <f>IF(L168="E",$F$29,IF(L168="C",$F$24,""))</f>
        <v/>
      </c>
      <c r="N168" s="100">
        <f t="shared" si="23"/>
        <v>0</v>
      </c>
      <c r="O168" s="99">
        <f>IF(F168=0,"",IF(G168="N",F168,(K168*F168*M168*I168)+(F168-F168*K168*I168)))</f>
        <v>10.36386952074886</v>
      </c>
      <c r="Q168" s="159" t="s">
        <v>691</v>
      </c>
      <c r="R168" s="158" t="str">
        <f>R163</f>
        <v>US$</v>
      </c>
      <c r="S168" s="158">
        <f>S163</f>
        <v>0</v>
      </c>
    </row>
    <row r="169" spans="1:34" s="91" customFormat="1" ht="16.5" outlineLevel="1" thickBot="1" x14ac:dyDescent="0.4">
      <c r="C169" s="157" t="s">
        <v>690</v>
      </c>
      <c r="D169" s="156">
        <f>SUM(D160:D168)</f>
        <v>1</v>
      </c>
      <c r="E169" s="156"/>
      <c r="F169" s="155">
        <f>S170</f>
        <v>184</v>
      </c>
      <c r="G169" s="101"/>
      <c r="H169" s="101"/>
      <c r="I169" s="154"/>
      <c r="J169" s="153"/>
      <c r="K169" s="145"/>
      <c r="L169" s="153"/>
      <c r="M169" s="153"/>
      <c r="N169" s="152">
        <f>O169/F169-1</f>
        <v>0.52281954476948544</v>
      </c>
      <c r="O169" s="151">
        <f>SUM(O160:O168)</f>
        <v>280.19879623758533</v>
      </c>
      <c r="Q169" s="146" t="s">
        <v>689</v>
      </c>
      <c r="R169" s="145" t="str">
        <f>R168</f>
        <v>US$</v>
      </c>
      <c r="S169" s="150">
        <f>W163</f>
        <v>184</v>
      </c>
      <c r="T169" s="149" t="s">
        <v>688</v>
      </c>
      <c r="U169" s="77"/>
      <c r="V169" s="77"/>
      <c r="W169" s="77"/>
      <c r="X169" s="77"/>
    </row>
    <row r="170" spans="1:34" ht="63.75" outlineLevel="1" thickBot="1" x14ac:dyDescent="0.4">
      <c r="C170" s="146"/>
      <c r="D170" s="148"/>
      <c r="E170" s="148"/>
      <c r="F170" s="147" t="s">
        <v>687</v>
      </c>
      <c r="G170" s="147"/>
      <c r="H170" s="147"/>
      <c r="I170" s="147"/>
      <c r="J170" s="147"/>
      <c r="K170" s="147"/>
      <c r="L170" s="147"/>
      <c r="M170" s="147"/>
      <c r="N170" s="145"/>
      <c r="O170" s="145"/>
      <c r="Q170" s="146" t="s">
        <v>686</v>
      </c>
      <c r="R170" s="145" t="str">
        <f>R169</f>
        <v>US$</v>
      </c>
      <c r="S170" s="144">
        <f>S169</f>
        <v>184</v>
      </c>
      <c r="T170" s="143" t="s">
        <v>685</v>
      </c>
    </row>
    <row r="172" spans="1:34" x14ac:dyDescent="0.35">
      <c r="A172" s="107"/>
      <c r="B172" s="107"/>
      <c r="C172" s="107"/>
    </row>
    <row r="174" spans="1:34" ht="17.25" x14ac:dyDescent="0.35">
      <c r="A174" s="78"/>
      <c r="B174" s="78"/>
      <c r="K174" s="96"/>
    </row>
    <row r="175" spans="1:34" ht="17.25" x14ac:dyDescent="0.35">
      <c r="A175" s="142" t="s">
        <v>684</v>
      </c>
      <c r="B175" s="78"/>
      <c r="K175" s="96"/>
    </row>
    <row r="176" spans="1:34" ht="17.25" x14ac:dyDescent="0.35">
      <c r="A176" s="78"/>
      <c r="B176" s="78"/>
      <c r="K176" s="96"/>
    </row>
    <row r="177" spans="1:14" ht="17.25" x14ac:dyDescent="0.35">
      <c r="A177" s="78"/>
      <c r="B177" s="78"/>
      <c r="C177" s="124" t="s">
        <v>683</v>
      </c>
      <c r="D177" s="121"/>
      <c r="E177" s="121"/>
      <c r="F177" s="140"/>
      <c r="H177" s="124" t="s">
        <v>682</v>
      </c>
      <c r="I177" s="121"/>
      <c r="J177" s="121"/>
      <c r="K177" s="141"/>
      <c r="L177" s="121"/>
      <c r="M177" s="121"/>
      <c r="N177" s="140"/>
    </row>
    <row r="178" spans="1:14" ht="17.25" x14ac:dyDescent="0.35">
      <c r="A178" s="78"/>
      <c r="B178" s="78"/>
      <c r="C178" s="139" t="s">
        <v>681</v>
      </c>
      <c r="D178" s="137"/>
      <c r="E178" s="137"/>
      <c r="F178" s="130"/>
      <c r="H178" s="134" t="s">
        <v>680</v>
      </c>
      <c r="K178" s="96"/>
      <c r="L178" s="77" t="s">
        <v>679</v>
      </c>
      <c r="M178" s="77" t="s">
        <v>678</v>
      </c>
      <c r="N178" s="130"/>
    </row>
    <row r="179" spans="1:14" ht="17.25" x14ac:dyDescent="0.35">
      <c r="A179" s="78"/>
      <c r="B179" s="78"/>
      <c r="C179" s="138">
        <v>116</v>
      </c>
      <c r="D179" s="137" t="s">
        <v>677</v>
      </c>
      <c r="E179" s="137" t="s">
        <v>676</v>
      </c>
      <c r="F179" s="130"/>
      <c r="H179" s="134" t="s">
        <v>675</v>
      </c>
      <c r="K179" s="96"/>
      <c r="L179" s="133">
        <v>33000</v>
      </c>
      <c r="M179" s="77" t="s">
        <v>674</v>
      </c>
      <c r="N179" s="130"/>
    </row>
    <row r="180" spans="1:14" ht="17.25" x14ac:dyDescent="0.35">
      <c r="A180" s="78"/>
      <c r="B180" s="78"/>
      <c r="C180" s="134" t="s">
        <v>673</v>
      </c>
      <c r="D180" s="77">
        <v>7.85</v>
      </c>
      <c r="E180" s="77" t="s">
        <v>672</v>
      </c>
      <c r="F180" s="130"/>
      <c r="H180" s="136">
        <v>109</v>
      </c>
      <c r="I180" s="77" t="s">
        <v>671</v>
      </c>
      <c r="K180" s="96"/>
      <c r="L180" s="133">
        <f>L179*(1-15%)</f>
        <v>28050</v>
      </c>
      <c r="M180" s="77" t="s">
        <v>670</v>
      </c>
      <c r="N180" s="130"/>
    </row>
    <row r="181" spans="1:14" ht="17.25" x14ac:dyDescent="0.35">
      <c r="A181" s="78"/>
      <c r="B181" s="78"/>
      <c r="C181" s="134"/>
      <c r="F181" s="130"/>
      <c r="H181" s="134">
        <v>50</v>
      </c>
      <c r="I181" s="77" t="s">
        <v>669</v>
      </c>
      <c r="K181" s="96"/>
      <c r="L181" s="77">
        <v>2.4</v>
      </c>
      <c r="M181" s="77" t="s">
        <v>668</v>
      </c>
      <c r="N181" s="130"/>
    </row>
    <row r="182" spans="1:14" ht="17.25" x14ac:dyDescent="0.35">
      <c r="A182" s="78"/>
      <c r="B182" s="78"/>
      <c r="C182" s="134" t="s">
        <v>667</v>
      </c>
      <c r="D182" s="77">
        <f>650*(PI()*0.6^2)</f>
        <v>735.1326809400116</v>
      </c>
      <c r="E182" s="77" t="s">
        <v>666</v>
      </c>
      <c r="F182" s="130"/>
      <c r="H182" s="134"/>
      <c r="K182" s="96"/>
      <c r="L182" s="133">
        <f>L180/25</f>
        <v>1122</v>
      </c>
      <c r="M182" s="77" t="s">
        <v>665</v>
      </c>
      <c r="N182" s="130"/>
    </row>
    <row r="183" spans="1:14" ht="17.25" x14ac:dyDescent="0.35">
      <c r="A183" s="78"/>
      <c r="B183" s="78"/>
      <c r="C183" s="134"/>
      <c r="F183" s="130"/>
      <c r="H183" s="132">
        <f>H180*(1-15%)/H181</f>
        <v>1.8529999999999998</v>
      </c>
      <c r="I183" s="77" t="s">
        <v>664</v>
      </c>
      <c r="K183" s="96"/>
      <c r="L183" s="135">
        <f>L182/L181</f>
        <v>467.5</v>
      </c>
      <c r="M183" s="91" t="s">
        <v>663</v>
      </c>
      <c r="N183" s="130"/>
    </row>
    <row r="184" spans="1:14" ht="17.25" x14ac:dyDescent="0.35">
      <c r="A184" s="78"/>
      <c r="B184" s="78"/>
      <c r="C184" s="134" t="s">
        <v>662</v>
      </c>
      <c r="D184" s="133">
        <f>C179/(D182*D180/1000000)</f>
        <v>20101.228590189843</v>
      </c>
      <c r="E184" s="112">
        <f>D184/E185</f>
        <v>1395.9186520965168</v>
      </c>
      <c r="F184" s="130" t="s">
        <v>660</v>
      </c>
      <c r="H184" s="132">
        <f>H183/E185</f>
        <v>0.12868055555555555</v>
      </c>
      <c r="I184" s="77" t="s">
        <v>661</v>
      </c>
      <c r="K184" s="96"/>
      <c r="L184" s="131">
        <f>L183/E185</f>
        <v>32.465277777777779</v>
      </c>
      <c r="M184" s="91" t="s">
        <v>660</v>
      </c>
      <c r="N184" s="130"/>
    </row>
    <row r="185" spans="1:14" ht="17.25" x14ac:dyDescent="0.35">
      <c r="A185" s="78"/>
      <c r="B185" s="78"/>
      <c r="C185" s="129"/>
      <c r="D185" s="90"/>
      <c r="E185" s="90">
        <f>D16</f>
        <v>14.4</v>
      </c>
      <c r="F185" s="126" t="s">
        <v>659</v>
      </c>
      <c r="H185" s="128">
        <v>0.1</v>
      </c>
      <c r="I185" s="127" t="s">
        <v>658</v>
      </c>
      <c r="J185" s="90"/>
      <c r="K185" s="97"/>
      <c r="L185" s="90"/>
      <c r="M185" s="90"/>
      <c r="N185" s="126"/>
    </row>
    <row r="186" spans="1:14" ht="17.25" x14ac:dyDescent="0.35">
      <c r="B186" s="78"/>
      <c r="C186" s="91" t="s">
        <v>657</v>
      </c>
      <c r="K186" s="96"/>
    </row>
    <row r="187" spans="1:14" ht="17.25" x14ac:dyDescent="0.35">
      <c r="B187" s="78"/>
      <c r="C187" s="77" t="s">
        <v>656</v>
      </c>
      <c r="D187" s="125" t="s">
        <v>655</v>
      </c>
      <c r="E187" s="90"/>
      <c r="F187" s="90"/>
      <c r="K187" s="96"/>
    </row>
    <row r="188" spans="1:14" ht="17.25" x14ac:dyDescent="0.35">
      <c r="B188" s="78"/>
      <c r="D188" s="91" t="s">
        <v>626</v>
      </c>
      <c r="E188" s="91" t="s">
        <v>654</v>
      </c>
      <c r="F188" s="91" t="s">
        <v>221</v>
      </c>
      <c r="K188" s="96"/>
    </row>
    <row r="189" spans="1:14" ht="17.25" x14ac:dyDescent="0.35">
      <c r="B189" s="78"/>
      <c r="C189" s="91" t="s">
        <v>653</v>
      </c>
      <c r="D189" s="92">
        <f>'[16]Materials used'!Z44</f>
        <v>15.57</v>
      </c>
      <c r="E189" s="92">
        <f>'[16]Materials used'!AA44</f>
        <v>85.72</v>
      </c>
      <c r="F189" s="92">
        <f>SUM(D189:E189)</f>
        <v>101.28999999999999</v>
      </c>
      <c r="K189" s="96"/>
    </row>
    <row r="190" spans="1:14" ht="17.25" x14ac:dyDescent="0.35">
      <c r="B190" s="78"/>
      <c r="C190" s="91" t="s">
        <v>604</v>
      </c>
      <c r="D190" s="92">
        <f>'[16]Materials used'!Z45</f>
        <v>242.59</v>
      </c>
      <c r="F190" s="92">
        <f>SUM(D190:E190)</f>
        <v>242.59</v>
      </c>
      <c r="K190" s="96"/>
    </row>
    <row r="191" spans="1:14" ht="17.25" x14ac:dyDescent="0.35">
      <c r="B191" s="78"/>
      <c r="C191" s="91"/>
      <c r="D191" s="82"/>
      <c r="E191" s="82"/>
      <c r="K191" s="96"/>
    </row>
    <row r="192" spans="1:14" ht="17.25" x14ac:dyDescent="0.35">
      <c r="B192" s="78"/>
      <c r="C192" s="91" t="s">
        <v>652</v>
      </c>
      <c r="D192" s="82"/>
      <c r="E192" s="82"/>
      <c r="K192" s="96"/>
    </row>
    <row r="193" spans="1:21" ht="17.25" x14ac:dyDescent="0.35">
      <c r="B193" s="78"/>
      <c r="C193" s="124"/>
      <c r="D193" s="121"/>
      <c r="E193" s="123"/>
      <c r="F193" s="121"/>
      <c r="G193" s="121"/>
      <c r="H193" s="121"/>
      <c r="I193" s="121"/>
      <c r="J193" s="121"/>
      <c r="K193" s="122" t="s">
        <v>651</v>
      </c>
      <c r="L193" s="121"/>
      <c r="M193" s="121"/>
      <c r="N193" s="121"/>
      <c r="O193" s="121"/>
      <c r="P193" s="120" t="s">
        <v>650</v>
      </c>
    </row>
    <row r="194" spans="1:21" ht="17.25" x14ac:dyDescent="0.35">
      <c r="B194" s="78" t="s">
        <v>648</v>
      </c>
      <c r="C194" s="119" t="s">
        <v>649</v>
      </c>
      <c r="E194" s="113"/>
      <c r="G194" s="77" t="s">
        <v>613</v>
      </c>
      <c r="K194" s="77" t="s">
        <v>606</v>
      </c>
      <c r="P194" s="118">
        <f>E184*D189/1000</f>
        <v>21.734453413142766</v>
      </c>
    </row>
    <row r="195" spans="1:21" ht="17.25" x14ac:dyDescent="0.35">
      <c r="B195" s="78" t="s">
        <v>648</v>
      </c>
      <c r="C195" s="117" t="s">
        <v>647</v>
      </c>
      <c r="D195" s="90"/>
      <c r="E195" s="116"/>
      <c r="F195" s="90"/>
      <c r="G195" s="90" t="s">
        <v>613</v>
      </c>
      <c r="H195" s="90"/>
      <c r="I195" s="90"/>
      <c r="J195" s="90"/>
      <c r="K195" s="90" t="s">
        <v>604</v>
      </c>
      <c r="L195" s="90"/>
      <c r="M195" s="90"/>
      <c r="N195" s="90"/>
      <c r="O195" s="90"/>
      <c r="P195" s="115">
        <f>D190*L184/1000</f>
        <v>7.8757517361111109</v>
      </c>
    </row>
    <row r="196" spans="1:21" ht="17.25" x14ac:dyDescent="0.35">
      <c r="B196" s="78"/>
      <c r="C196" s="91"/>
      <c r="E196" s="113"/>
      <c r="P196" s="112"/>
    </row>
    <row r="197" spans="1:21" ht="27.75" x14ac:dyDescent="0.55000000000000004">
      <c r="B197" s="78"/>
      <c r="C197" s="114" t="s">
        <v>646</v>
      </c>
      <c r="E197" s="113"/>
      <c r="P197" s="112"/>
    </row>
    <row r="198" spans="1:21" ht="17.25" x14ac:dyDescent="0.35">
      <c r="B198" s="78"/>
      <c r="C198" s="77" t="s">
        <v>645</v>
      </c>
      <c r="E198" s="113"/>
      <c r="P198" s="112"/>
    </row>
    <row r="199" spans="1:21" ht="17.25" x14ac:dyDescent="0.35">
      <c r="B199" s="78"/>
      <c r="C199" s="77" t="s">
        <v>644</v>
      </c>
      <c r="E199" s="113"/>
      <c r="P199" s="112"/>
    </row>
    <row r="200" spans="1:21" ht="17.25" x14ac:dyDescent="0.35">
      <c r="B200" s="78"/>
      <c r="C200" s="77" t="s">
        <v>643</v>
      </c>
      <c r="E200" s="113"/>
      <c r="P200" s="112"/>
    </row>
    <row r="201" spans="1:21" ht="17.25" x14ac:dyDescent="0.35">
      <c r="B201" s="78"/>
      <c r="C201" s="77" t="s">
        <v>642</v>
      </c>
      <c r="E201" s="113"/>
      <c r="P201" s="112"/>
    </row>
    <row r="202" spans="1:21" ht="17.25" x14ac:dyDescent="0.35">
      <c r="B202" s="78"/>
      <c r="C202" s="91"/>
      <c r="E202" s="113"/>
      <c r="P202" s="112"/>
    </row>
    <row r="203" spans="1:21" ht="25.5" thickBot="1" x14ac:dyDescent="0.55000000000000004">
      <c r="B203" s="78"/>
      <c r="C203" s="91"/>
      <c r="E203" s="113"/>
      <c r="P203" s="112"/>
      <c r="T203" s="111" t="s">
        <v>641</v>
      </c>
    </row>
    <row r="204" spans="1:21" ht="63.75" thickBot="1" x14ac:dyDescent="0.4">
      <c r="B204" s="109" t="s">
        <v>640</v>
      </c>
      <c r="C204" s="109" t="s">
        <v>639</v>
      </c>
      <c r="D204" s="110" t="s">
        <v>638</v>
      </c>
      <c r="E204" s="110"/>
      <c r="F204" s="109" t="s">
        <v>637</v>
      </c>
      <c r="G204" s="109" t="s">
        <v>636</v>
      </c>
      <c r="H204" s="109"/>
      <c r="I204" s="109" t="s">
        <v>635</v>
      </c>
      <c r="J204" s="109" t="s">
        <v>634</v>
      </c>
      <c r="K204" s="109" t="s">
        <v>633</v>
      </c>
      <c r="L204" s="109" t="s">
        <v>632</v>
      </c>
      <c r="M204" s="109" t="s">
        <v>631</v>
      </c>
      <c r="N204" s="109" t="s">
        <v>630</v>
      </c>
      <c r="O204" s="109" t="s">
        <v>629</v>
      </c>
      <c r="P204" s="109" t="s">
        <v>628</v>
      </c>
      <c r="Q204" s="78" t="s">
        <v>627</v>
      </c>
      <c r="T204" s="77">
        <v>2028</v>
      </c>
      <c r="U204" s="77">
        <v>2030</v>
      </c>
    </row>
    <row r="205" spans="1:21" ht="17.25" x14ac:dyDescent="0.35">
      <c r="A205" s="78" t="s">
        <v>626</v>
      </c>
      <c r="B205" s="78"/>
      <c r="C205" s="77" t="str">
        <f>C194</f>
        <v>For Rebar (steel)</v>
      </c>
      <c r="G205" s="77" t="s">
        <v>613</v>
      </c>
      <c r="K205" s="77" t="s">
        <v>606</v>
      </c>
      <c r="P205" s="108">
        <f>P194</f>
        <v>21.734453413142766</v>
      </c>
      <c r="T205" s="77" t="s">
        <v>613</v>
      </c>
      <c r="U205" s="77" t="s">
        <v>613</v>
      </c>
    </row>
    <row r="206" spans="1:21" ht="18" thickBot="1" x14ac:dyDescent="0.4">
      <c r="B206" s="78"/>
      <c r="C206" s="77" t="str">
        <f>C195</f>
        <v xml:space="preserve">for Concrete </v>
      </c>
      <c r="G206" s="77" t="s">
        <v>613</v>
      </c>
      <c r="K206" s="77" t="s">
        <v>604</v>
      </c>
      <c r="P206" s="108">
        <f>P195</f>
        <v>7.8757517361111109</v>
      </c>
      <c r="T206" s="77" t="s">
        <v>613</v>
      </c>
      <c r="U206" s="77" t="s">
        <v>613</v>
      </c>
    </row>
    <row r="207" spans="1:21" ht="18" thickBot="1" x14ac:dyDescent="0.4">
      <c r="A207" s="78" t="str">
        <f>D90</f>
        <v>Tower - steel</v>
      </c>
      <c r="B207" s="78"/>
      <c r="C207" s="106" t="str">
        <f>C93</f>
        <v>Shop fabrication of steel tube and flange rings</v>
      </c>
      <c r="D207" s="105">
        <f>D93</f>
        <v>1</v>
      </c>
      <c r="E207" s="104">
        <f>E93</f>
        <v>0</v>
      </c>
      <c r="F207" s="103">
        <f>F93</f>
        <v>106.67548116432459</v>
      </c>
      <c r="G207" s="101" t="str">
        <f>G93</f>
        <v>Y</v>
      </c>
      <c r="H207" s="101"/>
      <c r="I207" s="102">
        <f>I93</f>
        <v>1</v>
      </c>
      <c r="J207" s="101" t="str">
        <f>J93</f>
        <v>Basic iron and steel</v>
      </c>
      <c r="K207" s="77" t="s">
        <v>606</v>
      </c>
      <c r="L207" s="99">
        <f>K93</f>
        <v>9.7044444371923971E-2</v>
      </c>
      <c r="M207" s="101" t="str">
        <f>L93</f>
        <v>C</v>
      </c>
      <c r="N207" s="99">
        <f>M93</f>
        <v>2.4354066985645932</v>
      </c>
      <c r="O207" s="100">
        <f>N93</f>
        <v>0.13929824550993875</v>
      </c>
      <c r="P207" s="99">
        <f>O93</f>
        <v>121.53518852944353</v>
      </c>
      <c r="T207" s="77" t="s">
        <v>613</v>
      </c>
      <c r="U207" s="77" t="s">
        <v>613</v>
      </c>
    </row>
    <row r="208" spans="1:21" ht="18" thickBot="1" x14ac:dyDescent="0.4">
      <c r="A208" s="78" t="str">
        <f>D105</f>
        <v>Tower - concrete</v>
      </c>
      <c r="B208" s="78"/>
      <c r="C208" s="106" t="str">
        <f t="shared" ref="C208:G209" si="24">C108</f>
        <v>Shop fabrication of steel tube and flange rings</v>
      </c>
      <c r="D208" s="105">
        <f t="shared" si="24"/>
        <v>0.66382191651042022</v>
      </c>
      <c r="E208" s="104">
        <f t="shared" si="24"/>
        <v>0</v>
      </c>
      <c r="F208" s="103">
        <f t="shared" si="24"/>
        <v>50.989728612594419</v>
      </c>
      <c r="G208" s="101" t="str">
        <f t="shared" si="24"/>
        <v>Y</v>
      </c>
      <c r="H208" s="101"/>
      <c r="I208" s="102">
        <f>I108</f>
        <v>1</v>
      </c>
      <c r="J208" s="101" t="str">
        <f>J108</f>
        <v>Basic iron and steel</v>
      </c>
      <c r="K208" s="77" t="s">
        <v>606</v>
      </c>
      <c r="L208" s="99">
        <f t="shared" ref="L208:P209" si="25">K108</f>
        <v>9.7044444371923971E-2</v>
      </c>
      <c r="M208" s="101" t="str">
        <f t="shared" si="25"/>
        <v>C</v>
      </c>
      <c r="N208" s="99">
        <f t="shared" si="25"/>
        <v>2.4354066985645932</v>
      </c>
      <c r="O208" s="100">
        <f t="shared" si="25"/>
        <v>0.13929824550993875</v>
      </c>
      <c r="P208" s="99">
        <f t="shared" si="25"/>
        <v>58.092508347356741</v>
      </c>
      <c r="T208" s="77" t="s">
        <v>613</v>
      </c>
      <c r="U208" s="77" t="s">
        <v>613</v>
      </c>
    </row>
    <row r="209" spans="1:21" ht="18" thickBot="1" x14ac:dyDescent="0.4">
      <c r="A209" s="78"/>
      <c r="B209" s="78"/>
      <c r="C209" s="106" t="str">
        <f t="shared" si="24"/>
        <v>Tower concrete fabrication</v>
      </c>
      <c r="D209" s="105">
        <f t="shared" si="24"/>
        <v>0.33617808348957978</v>
      </c>
      <c r="E209" s="104">
        <f t="shared" si="24"/>
        <v>0</v>
      </c>
      <c r="F209" s="103">
        <f t="shared" si="24"/>
        <v>25.822632269729684</v>
      </c>
      <c r="G209" s="101" t="str">
        <f t="shared" si="24"/>
        <v>Y</v>
      </c>
      <c r="H209" s="101"/>
      <c r="I209" s="102">
        <f>I109</f>
        <v>1</v>
      </c>
      <c r="J209" s="101" t="str">
        <f>J109</f>
        <v>Non-metallic minerals</v>
      </c>
      <c r="K209" s="77" t="s">
        <v>604</v>
      </c>
      <c r="L209" s="99">
        <f t="shared" si="25"/>
        <v>0.10947716642839322</v>
      </c>
      <c r="M209" s="101" t="str">
        <f t="shared" si="25"/>
        <v>C</v>
      </c>
      <c r="N209" s="99">
        <f t="shared" si="25"/>
        <v>2.4354066985645932</v>
      </c>
      <c r="O209" s="100">
        <f t="shared" si="25"/>
        <v>0.15714425803118659</v>
      </c>
      <c r="P209" s="99">
        <f t="shared" si="25"/>
        <v>29.880510658168529</v>
      </c>
      <c r="T209" s="77" t="s">
        <v>613</v>
      </c>
      <c r="U209" s="77" t="s">
        <v>613</v>
      </c>
    </row>
    <row r="210" spans="1:21" ht="18" thickBot="1" x14ac:dyDescent="0.4">
      <c r="A210" s="78" t="str">
        <f>D120</f>
        <v>Nacelle</v>
      </c>
      <c r="B210" s="78"/>
      <c r="C210" s="106" t="str">
        <f t="shared" ref="C210:G223" si="26">C123</f>
        <v>Nacelle asssembly</v>
      </c>
      <c r="D210" s="105">
        <f t="shared" si="26"/>
        <v>8.0152671755725186E-2</v>
      </c>
      <c r="E210" s="104">
        <f t="shared" si="26"/>
        <v>0</v>
      </c>
      <c r="F210" s="103">
        <f t="shared" si="26"/>
        <v>39.114503816793892</v>
      </c>
      <c r="G210" s="101" t="str">
        <f t="shared" si="26"/>
        <v>Y</v>
      </c>
      <c r="H210" s="101"/>
      <c r="I210" s="102">
        <f t="shared" ref="I210:J223" si="27">I123</f>
        <v>1</v>
      </c>
      <c r="J210" s="101" t="str">
        <f t="shared" si="27"/>
        <v xml:space="preserve">Labour </v>
      </c>
      <c r="K210" s="77" t="s">
        <v>608</v>
      </c>
      <c r="L210" s="99">
        <f t="shared" ref="L210:P223" si="28">K123</f>
        <v>1</v>
      </c>
      <c r="M210" s="101" t="str">
        <f t="shared" si="28"/>
        <v>E</v>
      </c>
      <c r="N210" s="99">
        <f t="shared" si="28"/>
        <v>1.0761099365750528</v>
      </c>
      <c r="O210" s="100">
        <f t="shared" si="28"/>
        <v>7.6109936575052828E-2</v>
      </c>
      <c r="P210" s="99">
        <f t="shared" si="28"/>
        <v>42.091506221454736</v>
      </c>
      <c r="T210" s="77" t="s">
        <v>613</v>
      </c>
      <c r="U210" s="77" t="s">
        <v>613</v>
      </c>
    </row>
    <row r="211" spans="1:21" ht="18" thickBot="1" x14ac:dyDescent="0.4">
      <c r="A211" s="78"/>
      <c r="B211" s="78"/>
      <c r="C211" s="106" t="str">
        <f t="shared" si="26"/>
        <v>Main shaft</v>
      </c>
      <c r="D211" s="105">
        <f t="shared" si="26"/>
        <v>5.7251908396946556E-2</v>
      </c>
      <c r="E211" s="104">
        <f t="shared" si="26"/>
        <v>0</v>
      </c>
      <c r="F211" s="103">
        <f t="shared" si="26"/>
        <v>27.938931297709921</v>
      </c>
      <c r="G211" s="101" t="str">
        <f t="shared" si="26"/>
        <v>Y</v>
      </c>
      <c r="H211" s="101"/>
      <c r="I211" s="102">
        <f t="shared" si="27"/>
        <v>1</v>
      </c>
      <c r="J211" s="101" t="str">
        <f t="shared" si="27"/>
        <v>Basic iron and steel</v>
      </c>
      <c r="K211" s="107" t="s">
        <v>601</v>
      </c>
      <c r="L211" s="99">
        <f t="shared" si="28"/>
        <v>9.7044444371923971E-2</v>
      </c>
      <c r="M211" s="101" t="str">
        <f t="shared" si="28"/>
        <v>E</v>
      </c>
      <c r="N211" s="99">
        <f t="shared" si="28"/>
        <v>1.0761099365750528</v>
      </c>
      <c r="O211" s="100">
        <f t="shared" si="28"/>
        <v>7.3860465061081904E-3</v>
      </c>
      <c r="P211" s="99">
        <f t="shared" si="28"/>
        <v>28.14528954360577</v>
      </c>
      <c r="Q211" s="77" t="s">
        <v>625</v>
      </c>
      <c r="T211" s="77" t="s">
        <v>613</v>
      </c>
      <c r="U211" s="77" t="s">
        <v>613</v>
      </c>
    </row>
    <row r="212" spans="1:21" ht="18" thickBot="1" x14ac:dyDescent="0.4">
      <c r="A212" s="78"/>
      <c r="B212" s="78"/>
      <c r="C212" s="106" t="str">
        <f t="shared" si="26"/>
        <v>Gearbox</v>
      </c>
      <c r="D212" s="105">
        <f t="shared" si="26"/>
        <v>0.36641221374045801</v>
      </c>
      <c r="E212" s="104">
        <f t="shared" si="26"/>
        <v>0</v>
      </c>
      <c r="F212" s="103">
        <f t="shared" si="26"/>
        <v>178.80916030534351</v>
      </c>
      <c r="G212" s="101" t="str">
        <f t="shared" si="26"/>
        <v>N</v>
      </c>
      <c r="H212" s="101"/>
      <c r="I212" s="102">
        <f t="shared" si="27"/>
        <v>0</v>
      </c>
      <c r="J212" s="101">
        <f t="shared" si="27"/>
        <v>0</v>
      </c>
      <c r="K212" s="77" t="s">
        <v>601</v>
      </c>
      <c r="L212" s="99">
        <f t="shared" si="28"/>
        <v>0</v>
      </c>
      <c r="M212" s="101">
        <f t="shared" si="28"/>
        <v>0</v>
      </c>
      <c r="N212" s="99">
        <f t="shared" si="28"/>
        <v>0</v>
      </c>
      <c r="O212" s="100">
        <f t="shared" si="28"/>
        <v>0.1009081735620585</v>
      </c>
      <c r="P212" s="99">
        <f t="shared" si="28"/>
        <v>196.85246608792104</v>
      </c>
      <c r="Q212" s="77" t="s">
        <v>624</v>
      </c>
      <c r="T212" s="77" t="s">
        <v>612</v>
      </c>
      <c r="U212" s="77" t="s">
        <v>613</v>
      </c>
    </row>
    <row r="213" spans="1:21" ht="18" thickBot="1" x14ac:dyDescent="0.4">
      <c r="A213" s="78"/>
      <c r="B213" s="78"/>
      <c r="C213" s="106" t="str">
        <f t="shared" si="26"/>
        <v>Rotor bearings</v>
      </c>
      <c r="D213" s="105">
        <f t="shared" si="26"/>
        <v>3.4351145038167934E-2</v>
      </c>
      <c r="E213" s="104">
        <f t="shared" si="26"/>
        <v>0</v>
      </c>
      <c r="F213" s="103">
        <f t="shared" si="26"/>
        <v>16.763358778625953</v>
      </c>
      <c r="G213" s="101" t="str">
        <f t="shared" si="26"/>
        <v>N</v>
      </c>
      <c r="H213" s="101"/>
      <c r="I213" s="102">
        <f t="shared" si="27"/>
        <v>1</v>
      </c>
      <c r="J213" s="101" t="str">
        <f t="shared" si="27"/>
        <v>Basic iron and steel</v>
      </c>
      <c r="K213" s="77" t="s">
        <v>606</v>
      </c>
      <c r="L213" s="99">
        <f t="shared" si="28"/>
        <v>9.7044444371923971E-2</v>
      </c>
      <c r="M213" s="101" t="str">
        <f t="shared" si="28"/>
        <v>E</v>
      </c>
      <c r="N213" s="99">
        <f t="shared" si="28"/>
        <v>1.0761099365750528</v>
      </c>
      <c r="O213" s="100">
        <f t="shared" si="28"/>
        <v>0.1009081735620585</v>
      </c>
      <c r="P213" s="99">
        <f t="shared" si="28"/>
        <v>18.454918695742599</v>
      </c>
      <c r="T213" s="77" t="s">
        <v>613</v>
      </c>
      <c r="U213" s="77" t="s">
        <v>613</v>
      </c>
    </row>
    <row r="214" spans="1:21" ht="18" thickBot="1" x14ac:dyDescent="0.4">
      <c r="A214" s="78"/>
      <c r="B214" s="78"/>
      <c r="C214" s="106" t="str">
        <f t="shared" si="26"/>
        <v>Nacelle - interior</v>
      </c>
      <c r="D214" s="105">
        <f t="shared" si="26"/>
        <v>0</v>
      </c>
      <c r="E214" s="104">
        <f t="shared" si="26"/>
        <v>0</v>
      </c>
      <c r="F214" s="103">
        <f t="shared" si="26"/>
        <v>0</v>
      </c>
      <c r="G214" s="101" t="str">
        <f t="shared" si="26"/>
        <v>N</v>
      </c>
      <c r="H214" s="101"/>
      <c r="I214" s="102">
        <f t="shared" si="27"/>
        <v>0</v>
      </c>
      <c r="J214" s="101">
        <f t="shared" si="27"/>
        <v>0</v>
      </c>
      <c r="L214" s="99" t="str">
        <f t="shared" si="28"/>
        <v/>
      </c>
      <c r="M214" s="101">
        <f t="shared" si="28"/>
        <v>0</v>
      </c>
      <c r="N214" s="99" t="str">
        <f t="shared" si="28"/>
        <v/>
      </c>
      <c r="O214" s="100" t="str">
        <f t="shared" si="28"/>
        <v/>
      </c>
      <c r="P214" s="99" t="str">
        <f t="shared" si="28"/>
        <v/>
      </c>
      <c r="T214" s="77" t="s">
        <v>613</v>
      </c>
      <c r="U214" s="77" t="s">
        <v>613</v>
      </c>
    </row>
    <row r="215" spans="1:21" ht="18" thickBot="1" x14ac:dyDescent="0.4">
      <c r="A215" s="78"/>
      <c r="B215" s="78"/>
      <c r="C215" s="106" t="str">
        <f t="shared" si="26"/>
        <v>Generator</v>
      </c>
      <c r="D215" s="105">
        <f t="shared" si="26"/>
        <v>6.8702290076335867E-2</v>
      </c>
      <c r="E215" s="104">
        <f t="shared" si="26"/>
        <v>0</v>
      </c>
      <c r="F215" s="103">
        <f t="shared" si="26"/>
        <v>33.526717557251906</v>
      </c>
      <c r="G215" s="101" t="str">
        <f t="shared" si="26"/>
        <v>N</v>
      </c>
      <c r="H215" s="101"/>
      <c r="I215" s="102">
        <f t="shared" si="27"/>
        <v>1</v>
      </c>
      <c r="J215" s="101" t="str">
        <f t="shared" si="27"/>
        <v>Electrical machinery</v>
      </c>
      <c r="K215" s="77" t="s">
        <v>602</v>
      </c>
      <c r="L215" s="99">
        <f t="shared" si="28"/>
        <v>0.13001734713264965</v>
      </c>
      <c r="M215" s="101" t="str">
        <f t="shared" si="28"/>
        <v>E</v>
      </c>
      <c r="N215" s="99">
        <f t="shared" si="28"/>
        <v>1.0761099365750528</v>
      </c>
      <c r="O215" s="100">
        <f t="shared" si="28"/>
        <v>0.1009081735620585</v>
      </c>
      <c r="P215" s="99">
        <f t="shared" si="28"/>
        <v>36.909837391485198</v>
      </c>
      <c r="T215" s="77" t="s">
        <v>612</v>
      </c>
      <c r="U215" s="77" t="s">
        <v>613</v>
      </c>
    </row>
    <row r="216" spans="1:21" ht="18" thickBot="1" x14ac:dyDescent="0.4">
      <c r="A216" s="78"/>
      <c r="B216" s="78"/>
      <c r="C216" s="106" t="str">
        <f t="shared" si="26"/>
        <v>Tranformer</v>
      </c>
      <c r="D216" s="105">
        <f t="shared" si="26"/>
        <v>7.6335877862595422E-2</v>
      </c>
      <c r="E216" s="104">
        <f t="shared" si="26"/>
        <v>0</v>
      </c>
      <c r="F216" s="103">
        <f t="shared" si="26"/>
        <v>37.251908396946568</v>
      </c>
      <c r="G216" s="101" t="str">
        <f t="shared" si="26"/>
        <v>Y</v>
      </c>
      <c r="H216" s="101"/>
      <c r="I216" s="102">
        <f t="shared" si="27"/>
        <v>1</v>
      </c>
      <c r="J216" s="101" t="str">
        <f t="shared" si="27"/>
        <v>Electrical machinery</v>
      </c>
      <c r="K216" s="77" t="s">
        <v>602</v>
      </c>
      <c r="L216" s="99">
        <f t="shared" si="28"/>
        <v>0.13001734713264965</v>
      </c>
      <c r="M216" s="101" t="str">
        <f t="shared" si="28"/>
        <v>E</v>
      </c>
      <c r="N216" s="99">
        <f t="shared" si="28"/>
        <v>1.0761099365750528</v>
      </c>
      <c r="O216" s="100">
        <f t="shared" si="28"/>
        <v>9.8956120439224193E-3</v>
      </c>
      <c r="P216" s="99">
        <f t="shared" si="28"/>
        <v>37.620538830338489</v>
      </c>
      <c r="T216" s="77" t="s">
        <v>613</v>
      </c>
      <c r="U216" s="77" t="s">
        <v>613</v>
      </c>
    </row>
    <row r="217" spans="1:21" ht="18" thickBot="1" x14ac:dyDescent="0.4">
      <c r="A217" s="78"/>
      <c r="B217" s="78"/>
      <c r="C217" s="106" t="str">
        <f t="shared" si="26"/>
        <v>Power inverter</v>
      </c>
      <c r="D217" s="105">
        <f t="shared" si="26"/>
        <v>0.10305343511450381</v>
      </c>
      <c r="E217" s="104">
        <f t="shared" si="26"/>
        <v>0</v>
      </c>
      <c r="F217" s="103">
        <f t="shared" si="26"/>
        <v>50.290076335877856</v>
      </c>
      <c r="G217" s="101" t="str">
        <f t="shared" si="26"/>
        <v>N</v>
      </c>
      <c r="H217" s="101"/>
      <c r="I217" s="102">
        <f t="shared" si="27"/>
        <v>0</v>
      </c>
      <c r="J217" s="101">
        <f t="shared" si="27"/>
        <v>0</v>
      </c>
      <c r="K217" s="77" t="s">
        <v>602</v>
      </c>
      <c r="L217" s="99">
        <f t="shared" si="28"/>
        <v>0</v>
      </c>
      <c r="M217" s="101">
        <f t="shared" si="28"/>
        <v>0</v>
      </c>
      <c r="N217" s="99">
        <f t="shared" si="28"/>
        <v>0</v>
      </c>
      <c r="O217" s="100">
        <f t="shared" si="28"/>
        <v>0.1009081735620585</v>
      </c>
      <c r="P217" s="99">
        <f t="shared" si="28"/>
        <v>55.364756087227789</v>
      </c>
      <c r="Q217" s="77" t="s">
        <v>623</v>
      </c>
      <c r="T217" s="77" t="s">
        <v>613</v>
      </c>
      <c r="U217" s="77" t="s">
        <v>613</v>
      </c>
    </row>
    <row r="218" spans="1:21" ht="18" thickBot="1" x14ac:dyDescent="0.4">
      <c r="A218" s="78"/>
      <c r="B218" s="78"/>
      <c r="C218" s="106" t="str">
        <f t="shared" si="26"/>
        <v>variable speed electronics</v>
      </c>
      <c r="D218" s="105">
        <f t="shared" si="26"/>
        <v>0</v>
      </c>
      <c r="E218" s="104">
        <f t="shared" si="26"/>
        <v>0</v>
      </c>
      <c r="F218" s="103">
        <f t="shared" si="26"/>
        <v>0</v>
      </c>
      <c r="G218" s="101" t="str">
        <f t="shared" si="26"/>
        <v>N</v>
      </c>
      <c r="H218" s="101"/>
      <c r="I218" s="102">
        <f t="shared" si="27"/>
        <v>0</v>
      </c>
      <c r="J218" s="101">
        <f t="shared" si="27"/>
        <v>0</v>
      </c>
      <c r="K218" s="77" t="s">
        <v>602</v>
      </c>
      <c r="L218" s="99" t="str">
        <f t="shared" si="28"/>
        <v/>
      </c>
      <c r="M218" s="101">
        <f t="shared" si="28"/>
        <v>0</v>
      </c>
      <c r="N218" s="99" t="str">
        <f t="shared" si="28"/>
        <v/>
      </c>
      <c r="O218" s="100" t="str">
        <f t="shared" si="28"/>
        <v/>
      </c>
      <c r="P218" s="99" t="str">
        <f t="shared" si="28"/>
        <v/>
      </c>
      <c r="Q218" s="77" t="s">
        <v>623</v>
      </c>
      <c r="T218" s="77" t="s">
        <v>612</v>
      </c>
      <c r="U218" s="77" t="s">
        <v>613</v>
      </c>
    </row>
    <row r="219" spans="1:21" ht="18" thickBot="1" x14ac:dyDescent="0.4">
      <c r="A219" s="78"/>
      <c r="B219" s="78"/>
      <c r="C219" s="106" t="str">
        <f t="shared" si="26"/>
        <v>Brake system</v>
      </c>
      <c r="D219" s="105">
        <f t="shared" si="26"/>
        <v>2.6717557251908396E-2</v>
      </c>
      <c r="E219" s="104">
        <f t="shared" si="26"/>
        <v>0</v>
      </c>
      <c r="F219" s="103">
        <f t="shared" si="26"/>
        <v>13.038167938931297</v>
      </c>
      <c r="G219" s="101" t="str">
        <f t="shared" si="26"/>
        <v>N</v>
      </c>
      <c r="H219" s="101"/>
      <c r="I219" s="102">
        <f t="shared" si="27"/>
        <v>1</v>
      </c>
      <c r="J219" s="101" t="str">
        <f t="shared" si="27"/>
        <v>General machinery</v>
      </c>
      <c r="K219" s="77" t="s">
        <v>601</v>
      </c>
      <c r="L219" s="99">
        <f t="shared" si="28"/>
        <v>0.21461586851831049</v>
      </c>
      <c r="M219" s="101" t="str">
        <f t="shared" si="28"/>
        <v>E</v>
      </c>
      <c r="N219" s="99">
        <f t="shared" si="28"/>
        <v>1.0761099365750528</v>
      </c>
      <c r="O219" s="100">
        <f t="shared" si="28"/>
        <v>0.1009081735620585</v>
      </c>
      <c r="P219" s="99">
        <f t="shared" si="28"/>
        <v>14.353825652244243</v>
      </c>
      <c r="T219" s="77" t="s">
        <v>612</v>
      </c>
      <c r="U219" s="77" t="s">
        <v>613</v>
      </c>
    </row>
    <row r="220" spans="1:21" ht="18" thickBot="1" x14ac:dyDescent="0.4">
      <c r="A220" s="78"/>
      <c r="B220" s="78"/>
      <c r="C220" s="106" t="str">
        <f t="shared" si="26"/>
        <v>Yaw system</v>
      </c>
      <c r="D220" s="105">
        <f t="shared" si="26"/>
        <v>2.6717557251908396E-2</v>
      </c>
      <c r="E220" s="104">
        <f t="shared" si="26"/>
        <v>0</v>
      </c>
      <c r="F220" s="103">
        <f t="shared" si="26"/>
        <v>13.038167938931297</v>
      </c>
      <c r="G220" s="101" t="str">
        <f t="shared" si="26"/>
        <v>N</v>
      </c>
      <c r="H220" s="101"/>
      <c r="I220" s="102">
        <f t="shared" si="27"/>
        <v>1</v>
      </c>
      <c r="J220" s="101" t="str">
        <f t="shared" si="27"/>
        <v>General machinery</v>
      </c>
      <c r="K220" s="77" t="s">
        <v>601</v>
      </c>
      <c r="L220" s="99">
        <f t="shared" si="28"/>
        <v>0.21461586851831049</v>
      </c>
      <c r="M220" s="101" t="str">
        <f t="shared" si="28"/>
        <v>E</v>
      </c>
      <c r="N220" s="99">
        <f t="shared" si="28"/>
        <v>1.0761099365750528</v>
      </c>
      <c r="O220" s="100">
        <f t="shared" si="28"/>
        <v>0.1009081735620585</v>
      </c>
      <c r="P220" s="99">
        <f t="shared" si="28"/>
        <v>14.353825652244243</v>
      </c>
      <c r="T220" s="77" t="s">
        <v>612</v>
      </c>
      <c r="U220" s="77" t="s">
        <v>613</v>
      </c>
    </row>
    <row r="221" spans="1:21" ht="18" thickBot="1" x14ac:dyDescent="0.4">
      <c r="A221" s="78"/>
      <c r="B221" s="78"/>
      <c r="C221" s="106" t="str">
        <f t="shared" si="26"/>
        <v>Mainfraim</v>
      </c>
      <c r="D221" s="105">
        <f t="shared" si="26"/>
        <v>5.7251908396946556E-2</v>
      </c>
      <c r="E221" s="104">
        <f t="shared" si="26"/>
        <v>0</v>
      </c>
      <c r="F221" s="103">
        <f t="shared" si="26"/>
        <v>27.938931297709921</v>
      </c>
      <c r="G221" s="101" t="str">
        <f t="shared" si="26"/>
        <v>N</v>
      </c>
      <c r="H221" s="101"/>
      <c r="I221" s="102">
        <f t="shared" si="27"/>
        <v>1</v>
      </c>
      <c r="J221" s="101" t="str">
        <f t="shared" si="27"/>
        <v>Basic iron and steel</v>
      </c>
      <c r="K221" s="107" t="s">
        <v>601</v>
      </c>
      <c r="L221" s="99">
        <f t="shared" si="28"/>
        <v>9.7044444371923971E-2</v>
      </c>
      <c r="M221" s="101" t="str">
        <f t="shared" si="28"/>
        <v>E</v>
      </c>
      <c r="N221" s="99">
        <f t="shared" si="28"/>
        <v>1.0761099365750528</v>
      </c>
      <c r="O221" s="100">
        <f t="shared" si="28"/>
        <v>0.1009081735620585</v>
      </c>
      <c r="P221" s="99">
        <f t="shared" si="28"/>
        <v>30.758197826237662</v>
      </c>
      <c r="T221" s="77" t="s">
        <v>612</v>
      </c>
      <c r="U221" s="77" t="s">
        <v>613</v>
      </c>
    </row>
    <row r="222" spans="1:21" ht="18" thickBot="1" x14ac:dyDescent="0.4">
      <c r="A222" s="78"/>
      <c r="B222" s="78"/>
      <c r="C222" s="106" t="str">
        <f t="shared" si="26"/>
        <v>Hydrolic and cooling system</v>
      </c>
      <c r="D222" s="105">
        <f t="shared" si="26"/>
        <v>0</v>
      </c>
      <c r="E222" s="104">
        <f t="shared" si="26"/>
        <v>0</v>
      </c>
      <c r="F222" s="103">
        <f t="shared" si="26"/>
        <v>0</v>
      </c>
      <c r="G222" s="101" t="str">
        <f t="shared" si="26"/>
        <v>N</v>
      </c>
      <c r="H222" s="101"/>
      <c r="I222" s="102">
        <f t="shared" si="27"/>
        <v>0</v>
      </c>
      <c r="J222" s="101">
        <f t="shared" si="27"/>
        <v>0</v>
      </c>
      <c r="L222" s="99" t="str">
        <f t="shared" si="28"/>
        <v/>
      </c>
      <c r="M222" s="101">
        <f t="shared" si="28"/>
        <v>0</v>
      </c>
      <c r="N222" s="99" t="str">
        <f t="shared" si="28"/>
        <v/>
      </c>
      <c r="O222" s="100" t="str">
        <f t="shared" si="28"/>
        <v/>
      </c>
      <c r="P222" s="99" t="str">
        <f t="shared" si="28"/>
        <v/>
      </c>
      <c r="T222" s="77" t="s">
        <v>612</v>
      </c>
      <c r="U222" s="77" t="s">
        <v>613</v>
      </c>
    </row>
    <row r="223" spans="1:21" ht="18" thickBot="1" x14ac:dyDescent="0.4">
      <c r="A223" s="78"/>
      <c r="B223" s="78"/>
      <c r="C223" s="106" t="str">
        <f t="shared" si="26"/>
        <v>Nacelle-exterior</v>
      </c>
      <c r="D223" s="105">
        <f t="shared" si="26"/>
        <v>0.10305343511450381</v>
      </c>
      <c r="E223" s="104">
        <f t="shared" si="26"/>
        <v>0</v>
      </c>
      <c r="F223" s="103">
        <f t="shared" si="26"/>
        <v>50.290076335877856</v>
      </c>
      <c r="G223" s="101" t="str">
        <f t="shared" si="26"/>
        <v>Y</v>
      </c>
      <c r="H223" s="101"/>
      <c r="I223" s="102">
        <f t="shared" si="27"/>
        <v>1</v>
      </c>
      <c r="J223" s="101" t="str">
        <f t="shared" si="27"/>
        <v>General machinery</v>
      </c>
      <c r="K223" s="77" t="s">
        <v>606</v>
      </c>
      <c r="L223" s="99">
        <f t="shared" si="28"/>
        <v>0.21461586851831049</v>
      </c>
      <c r="M223" s="101" t="str">
        <f t="shared" si="28"/>
        <v>E</v>
      </c>
      <c r="N223" s="99">
        <f t="shared" si="28"/>
        <v>1.0761099365750528</v>
      </c>
      <c r="O223" s="100">
        <f t="shared" si="28"/>
        <v>1.6334400140928462E-2</v>
      </c>
      <c r="P223" s="99">
        <f t="shared" si="28"/>
        <v>51.111534565865924</v>
      </c>
      <c r="T223" s="77" t="s">
        <v>613</v>
      </c>
      <c r="U223" s="77" t="s">
        <v>613</v>
      </c>
    </row>
    <row r="224" spans="1:21" ht="18" thickBot="1" x14ac:dyDescent="0.4">
      <c r="A224" s="78" t="str">
        <f>D142</f>
        <v>Rotor Hub</v>
      </c>
      <c r="B224" s="78"/>
      <c r="C224" s="106" t="str">
        <f t="shared" ref="C224:G225" si="29">C145</f>
        <v>Rotor hub assembly</v>
      </c>
      <c r="D224" s="105">
        <f t="shared" si="29"/>
        <v>0.34883720930232559</v>
      </c>
      <c r="E224" s="104">
        <f t="shared" si="29"/>
        <v>0</v>
      </c>
      <c r="F224" s="103">
        <f t="shared" si="29"/>
        <v>60</v>
      </c>
      <c r="G224" s="101" t="str">
        <f t="shared" si="29"/>
        <v>Y</v>
      </c>
      <c r="H224" s="101"/>
      <c r="I224" s="102">
        <f>I145</f>
        <v>1</v>
      </c>
      <c r="J224" s="101" t="str">
        <f>J145</f>
        <v>General machinery</v>
      </c>
      <c r="K224" s="77" t="s">
        <v>601</v>
      </c>
      <c r="L224" s="99">
        <f t="shared" ref="L224:P225" si="30">K145</f>
        <v>0.21461586851831049</v>
      </c>
      <c r="M224" s="101" t="str">
        <f t="shared" si="30"/>
        <v>E</v>
      </c>
      <c r="N224" s="99">
        <f t="shared" si="30"/>
        <v>1.0761099365750528</v>
      </c>
      <c r="O224" s="100">
        <f t="shared" si="30"/>
        <v>1.6334400140928462E-2</v>
      </c>
      <c r="P224" s="99">
        <f t="shared" si="30"/>
        <v>60.980064008455706</v>
      </c>
      <c r="T224" s="77" t="s">
        <v>613</v>
      </c>
      <c r="U224" s="77" t="s">
        <v>613</v>
      </c>
    </row>
    <row r="225" spans="1:21" ht="18" thickBot="1" x14ac:dyDescent="0.4">
      <c r="A225" s="78"/>
      <c r="B225" s="78"/>
      <c r="C225" s="106" t="str">
        <f t="shared" si="29"/>
        <v>Pitch system assembly</v>
      </c>
      <c r="D225" s="105">
        <f t="shared" si="29"/>
        <v>0.65116279069767447</v>
      </c>
      <c r="E225" s="104">
        <f t="shared" si="29"/>
        <v>0</v>
      </c>
      <c r="F225" s="103">
        <f t="shared" si="29"/>
        <v>44</v>
      </c>
      <c r="G225" s="101" t="str">
        <f t="shared" si="29"/>
        <v>Y</v>
      </c>
      <c r="H225" s="101"/>
      <c r="I225" s="102">
        <f>I146</f>
        <v>1</v>
      </c>
      <c r="J225" s="101" t="str">
        <f>J146</f>
        <v>General machinery</v>
      </c>
      <c r="K225" s="77" t="s">
        <v>601</v>
      </c>
      <c r="L225" s="99">
        <f t="shared" si="30"/>
        <v>0.21461586851831049</v>
      </c>
      <c r="M225" s="101" t="str">
        <f t="shared" si="30"/>
        <v>E</v>
      </c>
      <c r="N225" s="99">
        <f t="shared" si="30"/>
        <v>1.0761099365750528</v>
      </c>
      <c r="O225" s="100">
        <f t="shared" si="30"/>
        <v>1.6334400140928684E-2</v>
      </c>
      <c r="P225" s="99">
        <f t="shared" si="30"/>
        <v>44.718713606200858</v>
      </c>
      <c r="T225" s="77" t="s">
        <v>613</v>
      </c>
      <c r="U225" s="77" t="s">
        <v>613</v>
      </c>
    </row>
    <row r="226" spans="1:21" ht="18" thickBot="1" x14ac:dyDescent="0.4">
      <c r="A226" s="78" t="s">
        <v>622</v>
      </c>
      <c r="B226" s="78"/>
      <c r="C226" s="106" t="str">
        <f t="shared" ref="C226:G234" si="31">C160</f>
        <v>Material cost</v>
      </c>
      <c r="D226" s="105">
        <f t="shared" si="31"/>
        <v>0.47789362607923669</v>
      </c>
      <c r="E226" s="104">
        <f t="shared" si="31"/>
        <v>0</v>
      </c>
      <c r="F226" s="103">
        <f t="shared" si="31"/>
        <v>87.932427198579546</v>
      </c>
      <c r="G226" s="101" t="str">
        <f t="shared" si="31"/>
        <v>N</v>
      </c>
      <c r="H226" s="101"/>
      <c r="I226" s="102">
        <f t="shared" ref="I226:J228" si="32">I160</f>
        <v>0</v>
      </c>
      <c r="J226" s="101">
        <f t="shared" si="32"/>
        <v>0</v>
      </c>
      <c r="K226" s="77" t="s">
        <v>601</v>
      </c>
      <c r="L226" s="99" t="str">
        <f t="shared" ref="L226:P228" si="33">K160</f>
        <v/>
      </c>
      <c r="M226" s="101">
        <f t="shared" si="33"/>
        <v>0</v>
      </c>
      <c r="N226" s="99" t="str">
        <f t="shared" si="33"/>
        <v/>
      </c>
      <c r="O226" s="100">
        <f t="shared" si="33"/>
        <v>0.1009081735620585</v>
      </c>
      <c r="P226" s="99">
        <f t="shared" si="33"/>
        <v>96.805527824066886</v>
      </c>
      <c r="Q226" s="77" t="s">
        <v>621</v>
      </c>
      <c r="R226" s="77" t="s">
        <v>620</v>
      </c>
      <c r="T226" s="77" t="s">
        <v>612</v>
      </c>
      <c r="U226" s="77" t="s">
        <v>612</v>
      </c>
    </row>
    <row r="227" spans="1:21" ht="18" thickBot="1" x14ac:dyDescent="0.4">
      <c r="A227" s="78"/>
      <c r="B227" s="78"/>
      <c r="C227" s="106" t="str">
        <f t="shared" si="31"/>
        <v>Labour cost</v>
      </c>
      <c r="D227" s="105">
        <f t="shared" si="31"/>
        <v>0.24864910468140783</v>
      </c>
      <c r="E227" s="104">
        <f t="shared" si="31"/>
        <v>0</v>
      </c>
      <c r="F227" s="103">
        <f t="shared" si="31"/>
        <v>45.751435261379044</v>
      </c>
      <c r="G227" s="101" t="str">
        <f t="shared" si="31"/>
        <v>Y</v>
      </c>
      <c r="H227" s="101"/>
      <c r="I227" s="102">
        <f t="shared" si="32"/>
        <v>1</v>
      </c>
      <c r="J227" s="101" t="str">
        <f t="shared" si="32"/>
        <v xml:space="preserve">Labour </v>
      </c>
      <c r="K227" s="77" t="s">
        <v>608</v>
      </c>
      <c r="L227" s="99">
        <f t="shared" si="33"/>
        <v>1</v>
      </c>
      <c r="M227" s="101" t="str">
        <f t="shared" si="33"/>
        <v>C</v>
      </c>
      <c r="N227" s="99">
        <f t="shared" si="33"/>
        <v>2.4354066985645932</v>
      </c>
      <c r="O227" s="100">
        <f t="shared" si="33"/>
        <v>1.4354066985645932</v>
      </c>
      <c r="P227" s="99">
        <f t="shared" si="33"/>
        <v>111.42335190450686</v>
      </c>
      <c r="T227" s="77" t="s">
        <v>613</v>
      </c>
      <c r="U227" s="77" t="s">
        <v>613</v>
      </c>
    </row>
    <row r="228" spans="1:21" ht="18" thickBot="1" x14ac:dyDescent="0.4">
      <c r="A228" s="78"/>
      <c r="B228" s="78"/>
      <c r="C228" s="106" t="str">
        <f t="shared" si="31"/>
        <v>Overhead labour costs</v>
      </c>
      <c r="D228" s="105">
        <f t="shared" si="31"/>
        <v>7.4594718425028433E-2</v>
      </c>
      <c r="E228" s="104">
        <f t="shared" si="31"/>
        <v>0</v>
      </c>
      <c r="F228" s="103">
        <f t="shared" si="31"/>
        <v>13.725428190205232</v>
      </c>
      <c r="G228" s="101" t="str">
        <f t="shared" si="31"/>
        <v>Y</v>
      </c>
      <c r="H228" s="101"/>
      <c r="I228" s="102">
        <f t="shared" si="32"/>
        <v>1</v>
      </c>
      <c r="J228" s="101" t="str">
        <f t="shared" si="32"/>
        <v xml:space="preserve">Labour </v>
      </c>
      <c r="K228" s="77" t="s">
        <v>608</v>
      </c>
      <c r="L228" s="99">
        <f t="shared" si="33"/>
        <v>1</v>
      </c>
      <c r="M228" s="101" t="str">
        <f t="shared" si="33"/>
        <v>C</v>
      </c>
      <c r="N228" s="99">
        <f t="shared" si="33"/>
        <v>2.4354066985645932</v>
      </c>
      <c r="O228" s="100">
        <f t="shared" si="33"/>
        <v>1.4354066985645928</v>
      </c>
      <c r="P228" s="99">
        <f t="shared" si="33"/>
        <v>33.426999755093121</v>
      </c>
      <c r="T228" s="77" t="s">
        <v>613</v>
      </c>
      <c r="U228" s="77" t="s">
        <v>613</v>
      </c>
    </row>
    <row r="229" spans="1:21" ht="18" thickBot="1" x14ac:dyDescent="0.4">
      <c r="A229" s="78"/>
      <c r="B229" s="78"/>
      <c r="C229" s="106" t="str">
        <f t="shared" si="31"/>
        <v>Utility costs</v>
      </c>
      <c r="D229" s="105">
        <f t="shared" si="31"/>
        <v>4.4978142700648456E-3</v>
      </c>
      <c r="E229" s="104">
        <f t="shared" si="31"/>
        <v>0</v>
      </c>
      <c r="F229" s="103">
        <f t="shared" si="31"/>
        <v>0.82759782569193163</v>
      </c>
      <c r="G229" s="101" t="str">
        <f t="shared" si="31"/>
        <v>N</v>
      </c>
      <c r="H229" s="101"/>
      <c r="I229" s="102"/>
      <c r="J229" s="101"/>
      <c r="L229" s="99"/>
      <c r="M229" s="101"/>
      <c r="N229" s="99"/>
      <c r="O229" s="100">
        <f t="shared" ref="O229:P234" si="34">N163</f>
        <v>0</v>
      </c>
      <c r="P229" s="99">
        <f t="shared" si="34"/>
        <v>0.82759782569193163</v>
      </c>
      <c r="Q229" s="77" t="s">
        <v>619</v>
      </c>
    </row>
    <row r="230" spans="1:21" ht="18" thickBot="1" x14ac:dyDescent="0.4">
      <c r="A230" s="78"/>
      <c r="B230" s="78"/>
      <c r="C230" s="106" t="str">
        <f t="shared" si="31"/>
        <v>Equipment costs</v>
      </c>
      <c r="D230" s="105">
        <f t="shared" si="31"/>
        <v>2.821175102407418E-2</v>
      </c>
      <c r="E230" s="104">
        <f t="shared" si="31"/>
        <v>0</v>
      </c>
      <c r="F230" s="103">
        <f t="shared" si="31"/>
        <v>5.1909621884296495</v>
      </c>
      <c r="G230" s="101" t="str">
        <f t="shared" si="31"/>
        <v>N</v>
      </c>
      <c r="H230" s="101"/>
      <c r="I230" s="102"/>
      <c r="J230" s="101"/>
      <c r="L230" s="99"/>
      <c r="M230" s="101"/>
      <c r="N230" s="99"/>
      <c r="O230" s="100">
        <f t="shared" si="34"/>
        <v>0.1009081735620585</v>
      </c>
      <c r="P230" s="99">
        <f t="shared" si="34"/>
        <v>5.7147727018937919</v>
      </c>
    </row>
    <row r="231" spans="1:21" ht="18" thickBot="1" x14ac:dyDescent="0.4">
      <c r="A231" s="78"/>
      <c r="B231" s="78"/>
      <c r="C231" s="106" t="str">
        <f t="shared" si="31"/>
        <v>Tooling costs</v>
      </c>
      <c r="D231" s="105">
        <f t="shared" si="31"/>
        <v>7.6931593402314494E-2</v>
      </c>
      <c r="E231" s="104">
        <f t="shared" si="31"/>
        <v>0</v>
      </c>
      <c r="F231" s="103">
        <f t="shared" si="31"/>
        <v>14.155413186025866</v>
      </c>
      <c r="G231" s="101" t="str">
        <f t="shared" si="31"/>
        <v>N</v>
      </c>
      <c r="H231" s="101"/>
      <c r="I231" s="102"/>
      <c r="J231" s="101"/>
      <c r="L231" s="99"/>
      <c r="M231" s="101"/>
      <c r="N231" s="99"/>
      <c r="O231" s="100">
        <f t="shared" si="34"/>
        <v>0.1009081735620585</v>
      </c>
      <c r="P231" s="99">
        <f t="shared" si="34"/>
        <v>15.583810076644015</v>
      </c>
    </row>
    <row r="232" spans="1:21" ht="18" thickBot="1" x14ac:dyDescent="0.4">
      <c r="A232" s="78"/>
      <c r="B232" s="78"/>
      <c r="C232" s="106" t="str">
        <f t="shared" si="31"/>
        <v>Building costs</v>
      </c>
      <c r="D232" s="105">
        <f t="shared" si="31"/>
        <v>4.2282971554360293E-3</v>
      </c>
      <c r="E232" s="104">
        <f t="shared" si="31"/>
        <v>0</v>
      </c>
      <c r="F232" s="103">
        <f t="shared" si="31"/>
        <v>0.77800667660022937</v>
      </c>
      <c r="G232" s="101" t="str">
        <f t="shared" si="31"/>
        <v>N</v>
      </c>
      <c r="H232" s="101"/>
      <c r="I232" s="102"/>
      <c r="J232" s="101"/>
      <c r="L232" s="99"/>
      <c r="M232" s="101"/>
      <c r="N232" s="99"/>
      <c r="O232" s="100">
        <f t="shared" si="34"/>
        <v>0</v>
      </c>
      <c r="P232" s="99">
        <f t="shared" si="34"/>
        <v>0.77800667660022937</v>
      </c>
    </row>
    <row r="233" spans="1:21" ht="18" thickBot="1" x14ac:dyDescent="0.4">
      <c r="A233" s="78"/>
      <c r="B233" s="78"/>
      <c r="C233" s="106" t="str">
        <f t="shared" si="31"/>
        <v>Maintenance costs</v>
      </c>
      <c r="D233" s="105">
        <f t="shared" si="31"/>
        <v>2.8667717132280793E-2</v>
      </c>
      <c r="E233" s="104">
        <f t="shared" si="31"/>
        <v>0</v>
      </c>
      <c r="F233" s="103">
        <f t="shared" si="31"/>
        <v>5.274859952339666</v>
      </c>
      <c r="G233" s="101" t="str">
        <f t="shared" si="31"/>
        <v>N</v>
      </c>
      <c r="H233" s="101"/>
      <c r="I233" s="102"/>
      <c r="J233" s="101"/>
      <c r="L233" s="99"/>
      <c r="M233" s="101"/>
      <c r="N233" s="99"/>
      <c r="O233" s="100">
        <f t="shared" si="34"/>
        <v>0</v>
      </c>
      <c r="P233" s="99">
        <f t="shared" si="34"/>
        <v>5.274859952339666</v>
      </c>
    </row>
    <row r="234" spans="1:21" ht="18" thickBot="1" x14ac:dyDescent="0.4">
      <c r="A234" s="78"/>
      <c r="B234" s="78"/>
      <c r="C234" s="106" t="str">
        <f t="shared" si="31"/>
        <v>Cost of capital</v>
      </c>
      <c r="D234" s="105">
        <f t="shared" si="31"/>
        <v>5.6325377830156849E-2</v>
      </c>
      <c r="E234" s="104">
        <f t="shared" si="31"/>
        <v>0</v>
      </c>
      <c r="F234" s="103">
        <f t="shared" si="31"/>
        <v>10.36386952074886</v>
      </c>
      <c r="G234" s="101" t="str">
        <f t="shared" si="31"/>
        <v>N</v>
      </c>
      <c r="H234" s="101"/>
      <c r="I234" s="102"/>
      <c r="J234" s="101"/>
      <c r="L234" s="99"/>
      <c r="M234" s="101"/>
      <c r="N234" s="99" t="str">
        <f>M168</f>
        <v/>
      </c>
      <c r="O234" s="100">
        <f t="shared" si="34"/>
        <v>0</v>
      </c>
      <c r="P234" s="99">
        <f t="shared" si="34"/>
        <v>10.36386952074886</v>
      </c>
    </row>
    <row r="235" spans="1:21" ht="17.25" x14ac:dyDescent="0.35">
      <c r="A235" s="78"/>
      <c r="B235" s="78"/>
      <c r="K235" s="96"/>
    </row>
    <row r="236" spans="1:21" ht="17.25" x14ac:dyDescent="0.35">
      <c r="A236" s="78"/>
      <c r="B236" s="78"/>
      <c r="D236" s="82"/>
      <c r="E236" s="82"/>
      <c r="K236" s="96"/>
    </row>
    <row r="237" spans="1:21" ht="17.25" x14ac:dyDescent="0.35">
      <c r="A237" s="78" t="s">
        <v>618</v>
      </c>
      <c r="B237" s="78"/>
      <c r="C237" s="91"/>
      <c r="D237" s="91" t="s">
        <v>617</v>
      </c>
      <c r="E237" s="91"/>
      <c r="F237" s="91"/>
      <c r="G237" s="91"/>
      <c r="H237" s="91"/>
      <c r="I237" s="91"/>
      <c r="J237" s="91" t="s">
        <v>616</v>
      </c>
      <c r="K237" s="98"/>
      <c r="L237" s="91"/>
      <c r="M237" s="91"/>
      <c r="N237" s="91"/>
      <c r="P237" s="91" t="s">
        <v>615</v>
      </c>
      <c r="T237" s="77">
        <v>2028</v>
      </c>
      <c r="U237" s="77">
        <v>2030</v>
      </c>
    </row>
    <row r="238" spans="1:21" ht="17.25" x14ac:dyDescent="0.35">
      <c r="A238" s="78"/>
      <c r="B238" s="78"/>
      <c r="C238" s="77" t="s">
        <v>609</v>
      </c>
      <c r="D238" s="77" t="s">
        <v>613</v>
      </c>
      <c r="J238" s="77" t="s">
        <v>606</v>
      </c>
      <c r="K238" s="96"/>
      <c r="P238" s="95">
        <f t="shared" ref="P238:P247" si="35">(SUMIFS($P$210:$P$234,$K$210:$K$234,$J238,$G$210:$G$234,$D238)+SUMIFS($P$205:$P$207,$K$205:$K$207,$J238,$G$205:$G$207,$D238))*$D$16</f>
        <v>2799.0889417217122</v>
      </c>
      <c r="T238" s="95">
        <f t="shared" ref="T238:T247" si="36">(SUMIFS($P$210:$P$234,$K$210:$K$234,$J238,$T$210:$T$234,$D238)+SUMIFS($P$205:$P$207,$K$205:$K$207,$J238,$T$205:$T$207,$D238))*$D$16</f>
        <v>3064.8397709404057</v>
      </c>
      <c r="U238" s="95">
        <f t="shared" ref="U238:U247" si="37">(SUMIFS($P$210:$P$234,$K$210:$K$234,$J238,$U$210:$U$234,$D238)+SUMIFS($P$205:$P$207,$K$205:$K$207,$J238,$U$205:$U$207,$D238))*$D$16</f>
        <v>3064.8397709404057</v>
      </c>
    </row>
    <row r="239" spans="1:21" ht="17.25" x14ac:dyDescent="0.35">
      <c r="A239" s="78"/>
      <c r="B239" s="78"/>
      <c r="D239" s="77" t="s">
        <v>613</v>
      </c>
      <c r="J239" s="77" t="s">
        <v>604</v>
      </c>
      <c r="K239" s="96"/>
      <c r="P239" s="95">
        <f t="shared" si="35"/>
        <v>113.410825</v>
      </c>
      <c r="T239" s="95">
        <f t="shared" si="36"/>
        <v>113.410825</v>
      </c>
      <c r="U239" s="95">
        <f t="shared" si="37"/>
        <v>113.410825</v>
      </c>
    </row>
    <row r="240" spans="1:21" ht="17.25" x14ac:dyDescent="0.35">
      <c r="A240" s="78"/>
      <c r="B240" s="78"/>
      <c r="D240" s="77" t="s">
        <v>613</v>
      </c>
      <c r="J240" s="77" t="s">
        <v>608</v>
      </c>
      <c r="K240" s="96"/>
      <c r="P240" s="95">
        <f t="shared" si="35"/>
        <v>2691.9627534871879</v>
      </c>
      <c r="T240" s="95">
        <f t="shared" si="36"/>
        <v>2691.9627534871879</v>
      </c>
      <c r="U240" s="95">
        <f t="shared" si="37"/>
        <v>2691.9627534871879</v>
      </c>
    </row>
    <row r="241" spans="1:21" ht="17.25" x14ac:dyDescent="0.35">
      <c r="A241" s="78"/>
      <c r="B241" s="78"/>
      <c r="D241" s="77" t="s">
        <v>613</v>
      </c>
      <c r="J241" s="77" t="s">
        <v>602</v>
      </c>
      <c r="K241" s="96"/>
      <c r="P241" s="95">
        <f t="shared" si="35"/>
        <v>541.73575915687422</v>
      </c>
      <c r="T241" s="95">
        <f t="shared" si="36"/>
        <v>1338.9882468129545</v>
      </c>
      <c r="U241" s="95">
        <f t="shared" si="37"/>
        <v>1870.4899052503411</v>
      </c>
    </row>
    <row r="242" spans="1:21" ht="17.25" x14ac:dyDescent="0.35">
      <c r="A242" s="78"/>
      <c r="B242" s="78"/>
      <c r="C242" s="90"/>
      <c r="D242" s="77" t="s">
        <v>613</v>
      </c>
      <c r="E242" s="90"/>
      <c r="F242" s="90"/>
      <c r="G242" s="90"/>
      <c r="H242" s="90"/>
      <c r="I242" s="90"/>
      <c r="J242" s="90" t="s">
        <v>601</v>
      </c>
      <c r="K242" s="97"/>
      <c r="L242" s="90"/>
      <c r="M242" s="90"/>
      <c r="N242" s="90"/>
      <c r="P242" s="95">
        <f t="shared" si="35"/>
        <v>1927.3545670789777</v>
      </c>
      <c r="T242" s="95">
        <f t="shared" si="36"/>
        <v>1927.3545670789777</v>
      </c>
      <c r="U242" s="95">
        <f t="shared" si="37"/>
        <v>5618.338306227497</v>
      </c>
    </row>
    <row r="243" spans="1:21" ht="17.25" x14ac:dyDescent="0.35">
      <c r="A243" s="78"/>
      <c r="B243" s="78"/>
      <c r="C243" s="77" t="s">
        <v>607</v>
      </c>
      <c r="D243" s="77" t="s">
        <v>612</v>
      </c>
      <c r="J243" s="77" t="s">
        <v>606</v>
      </c>
      <c r="K243" s="96"/>
      <c r="P243" s="95">
        <f t="shared" si="35"/>
        <v>265.75082921869341</v>
      </c>
      <c r="T243" s="95">
        <f t="shared" si="36"/>
        <v>0</v>
      </c>
      <c r="U243" s="95">
        <f t="shared" si="37"/>
        <v>0</v>
      </c>
    </row>
    <row r="244" spans="1:21" ht="17.25" x14ac:dyDescent="0.35">
      <c r="A244" s="78"/>
      <c r="B244" s="78"/>
      <c r="D244" s="77" t="s">
        <v>612</v>
      </c>
      <c r="J244" s="77" t="s">
        <v>604</v>
      </c>
      <c r="K244" s="96"/>
      <c r="P244" s="95">
        <f t="shared" si="35"/>
        <v>0</v>
      </c>
      <c r="T244" s="95">
        <f t="shared" si="36"/>
        <v>0</v>
      </c>
      <c r="U244" s="95">
        <f t="shared" si="37"/>
        <v>0</v>
      </c>
    </row>
    <row r="245" spans="1:21" ht="17.25" x14ac:dyDescent="0.35">
      <c r="A245" s="78"/>
      <c r="B245" s="78"/>
      <c r="D245" s="77" t="s">
        <v>612</v>
      </c>
      <c r="J245" s="77" t="s">
        <v>603</v>
      </c>
      <c r="K245" s="96"/>
      <c r="P245" s="95">
        <f t="shared" si="35"/>
        <v>0</v>
      </c>
      <c r="T245" s="95">
        <f t="shared" si="36"/>
        <v>0</v>
      </c>
      <c r="U245" s="95">
        <f t="shared" si="37"/>
        <v>0</v>
      </c>
    </row>
    <row r="246" spans="1:21" ht="17.25" x14ac:dyDescent="0.35">
      <c r="A246" s="78"/>
      <c r="B246" s="78"/>
      <c r="D246" s="77" t="s">
        <v>612</v>
      </c>
      <c r="J246" s="77" t="s">
        <v>602</v>
      </c>
      <c r="K246" s="96"/>
      <c r="P246" s="95">
        <f t="shared" si="35"/>
        <v>1328.7541460934669</v>
      </c>
      <c r="T246" s="95">
        <f t="shared" si="36"/>
        <v>531.50165843738682</v>
      </c>
      <c r="U246" s="95">
        <f t="shared" si="37"/>
        <v>0</v>
      </c>
    </row>
    <row r="247" spans="1:21" ht="17.25" x14ac:dyDescent="0.35">
      <c r="A247" s="78"/>
      <c r="B247" s="78"/>
      <c r="D247" s="77" t="s">
        <v>612</v>
      </c>
      <c r="J247" s="90" t="s">
        <v>601</v>
      </c>
      <c r="K247" s="96"/>
      <c r="P247" s="95">
        <f t="shared" si="35"/>
        <v>5084.9833398150822</v>
      </c>
      <c r="T247" s="95">
        <f t="shared" si="36"/>
        <v>5084.9833398150822</v>
      </c>
      <c r="U247" s="95">
        <f t="shared" si="37"/>
        <v>1393.9996006665631</v>
      </c>
    </row>
    <row r="248" spans="1:21" ht="17.25" x14ac:dyDescent="0.35">
      <c r="A248" s="78"/>
      <c r="B248" s="78"/>
      <c r="K248" s="96"/>
      <c r="P248" s="94">
        <f>SUM(P238:P247)</f>
        <v>14753.041161571995</v>
      </c>
    </row>
    <row r="249" spans="1:21" ht="17.25" x14ac:dyDescent="0.35">
      <c r="A249" s="78" t="s">
        <v>614</v>
      </c>
      <c r="B249" s="78"/>
      <c r="K249" s="96"/>
    </row>
    <row r="250" spans="1:21" ht="17.25" x14ac:dyDescent="0.35">
      <c r="A250" s="78"/>
      <c r="B250" s="78"/>
      <c r="C250" s="77" t="s">
        <v>609</v>
      </c>
      <c r="D250" s="77" t="s">
        <v>613</v>
      </c>
      <c r="J250" s="77" t="s">
        <v>606</v>
      </c>
      <c r="K250" s="96"/>
      <c r="P250" s="95">
        <f t="shared" ref="P250:P259" si="38">(SUMIFS($P$208:$P$234,$K$208:$K$234,$J250,$G$208:$G$234,$D250)+SUMIFS($P$205:$P$206,$K$205:$K$206,$J250,$G$205:$G$206,$D250))*$D$16</f>
        <v>1885.5143470996622</v>
      </c>
      <c r="T250" s="95">
        <f t="shared" ref="T250:T259" si="39">(SUMIFS($P$208:$P$234,$K$208:$K$234,$J250,$T$208:$T$234,$D250)+SUMIFS($P$205:$P$206,$K$205:$K$206,$J250,$T$205:$T$206,$D250))*$D$16</f>
        <v>2151.2651763183558</v>
      </c>
      <c r="U250" s="95">
        <f t="shared" ref="U250:U259" si="40">(SUMIFS($P$208:$P$234,$K$208:$K$234,$J250,$U$208:$U$234,$D250)+SUMIFS($P$205:$P$206,$K$205:$K$206,$J250,$U$205:$U$206,$D250))*$D$16</f>
        <v>2151.2651763183558</v>
      </c>
    </row>
    <row r="251" spans="1:21" ht="17.25" x14ac:dyDescent="0.35">
      <c r="A251" s="78"/>
      <c r="B251" s="78"/>
      <c r="D251" s="77" t="s">
        <v>613</v>
      </c>
      <c r="J251" s="77" t="s">
        <v>604</v>
      </c>
      <c r="K251" s="96"/>
      <c r="P251" s="95">
        <f t="shared" si="38"/>
        <v>543.69017847762677</v>
      </c>
      <c r="T251" s="95">
        <f t="shared" si="39"/>
        <v>543.69017847762677</v>
      </c>
      <c r="U251" s="95">
        <f t="shared" si="40"/>
        <v>543.69017847762677</v>
      </c>
    </row>
    <row r="252" spans="1:21" ht="17.25" x14ac:dyDescent="0.35">
      <c r="A252" s="78"/>
      <c r="B252" s="78"/>
      <c r="D252" s="77" t="s">
        <v>613</v>
      </c>
      <c r="J252" s="77" t="s">
        <v>608</v>
      </c>
      <c r="K252" s="96"/>
      <c r="P252" s="95">
        <f t="shared" si="38"/>
        <v>2691.9627534871879</v>
      </c>
      <c r="T252" s="95">
        <f t="shared" si="39"/>
        <v>2691.9627534871879</v>
      </c>
      <c r="U252" s="95">
        <f t="shared" si="40"/>
        <v>2691.9627534871879</v>
      </c>
    </row>
    <row r="253" spans="1:21" ht="17.25" x14ac:dyDescent="0.35">
      <c r="A253" s="78"/>
      <c r="B253" s="78"/>
      <c r="D253" s="77" t="s">
        <v>613</v>
      </c>
      <c r="J253" s="77" t="s">
        <v>602</v>
      </c>
      <c r="K253" s="96"/>
      <c r="P253" s="95">
        <f t="shared" si="38"/>
        <v>541.73575915687422</v>
      </c>
      <c r="T253" s="95">
        <f t="shared" si="39"/>
        <v>1338.9882468129545</v>
      </c>
      <c r="U253" s="95">
        <f t="shared" si="40"/>
        <v>1870.4899052503411</v>
      </c>
    </row>
    <row r="254" spans="1:21" ht="17.25" x14ac:dyDescent="0.35">
      <c r="A254" s="78"/>
      <c r="B254" s="78"/>
      <c r="C254" s="90"/>
      <c r="D254" s="77" t="s">
        <v>613</v>
      </c>
      <c r="E254" s="90"/>
      <c r="F254" s="90"/>
      <c r="G254" s="90"/>
      <c r="H254" s="90"/>
      <c r="I254" s="90"/>
      <c r="J254" s="90" t="s">
        <v>601</v>
      </c>
      <c r="K254" s="97"/>
      <c r="L254" s="90"/>
      <c r="M254" s="90"/>
      <c r="N254" s="90"/>
      <c r="P254" s="95">
        <f t="shared" si="38"/>
        <v>1927.3545670789777</v>
      </c>
      <c r="T254" s="95">
        <f t="shared" si="39"/>
        <v>1927.3545670789777</v>
      </c>
      <c r="U254" s="95">
        <f t="shared" si="40"/>
        <v>5618.338306227497</v>
      </c>
    </row>
    <row r="255" spans="1:21" ht="17.25" x14ac:dyDescent="0.35">
      <c r="A255" s="78"/>
      <c r="B255" s="78"/>
      <c r="C255" s="77" t="s">
        <v>607</v>
      </c>
      <c r="D255" s="77" t="s">
        <v>612</v>
      </c>
      <c r="J255" s="77" t="s">
        <v>606</v>
      </c>
      <c r="K255" s="96"/>
      <c r="P255" s="95">
        <f t="shared" si="38"/>
        <v>265.75082921869341</v>
      </c>
      <c r="T255" s="95">
        <f t="shared" si="39"/>
        <v>0</v>
      </c>
      <c r="U255" s="95">
        <f t="shared" si="40"/>
        <v>0</v>
      </c>
    </row>
    <row r="256" spans="1:21" ht="17.25" x14ac:dyDescent="0.35">
      <c r="A256" s="78"/>
      <c r="B256" s="78"/>
      <c r="D256" s="77" t="s">
        <v>612</v>
      </c>
      <c r="J256" s="77" t="s">
        <v>604</v>
      </c>
      <c r="K256" s="96"/>
      <c r="P256" s="95">
        <f t="shared" si="38"/>
        <v>0</v>
      </c>
      <c r="T256" s="95">
        <f t="shared" si="39"/>
        <v>0</v>
      </c>
      <c r="U256" s="95">
        <f t="shared" si="40"/>
        <v>0</v>
      </c>
    </row>
    <row r="257" spans="1:21" ht="17.25" x14ac:dyDescent="0.35">
      <c r="A257" s="78"/>
      <c r="B257" s="78"/>
      <c r="D257" s="77" t="s">
        <v>612</v>
      </c>
      <c r="J257" s="77" t="s">
        <v>603</v>
      </c>
      <c r="K257" s="96"/>
      <c r="P257" s="95">
        <f t="shared" si="38"/>
        <v>0</v>
      </c>
      <c r="T257" s="95">
        <f t="shared" si="39"/>
        <v>0</v>
      </c>
      <c r="U257" s="95">
        <f t="shared" si="40"/>
        <v>0</v>
      </c>
    </row>
    <row r="258" spans="1:21" ht="17.25" x14ac:dyDescent="0.35">
      <c r="A258" s="78"/>
      <c r="B258" s="78"/>
      <c r="D258" s="77" t="s">
        <v>612</v>
      </c>
      <c r="J258" s="77" t="s">
        <v>602</v>
      </c>
      <c r="K258" s="96"/>
      <c r="P258" s="95">
        <f t="shared" si="38"/>
        <v>1328.7541460934669</v>
      </c>
      <c r="T258" s="95">
        <f t="shared" si="39"/>
        <v>531.50165843738682</v>
      </c>
      <c r="U258" s="95">
        <f t="shared" si="40"/>
        <v>0</v>
      </c>
    </row>
    <row r="259" spans="1:21" ht="17.25" x14ac:dyDescent="0.35">
      <c r="A259" s="78"/>
      <c r="B259" s="78"/>
      <c r="D259" s="77" t="s">
        <v>612</v>
      </c>
      <c r="J259" s="77" t="s">
        <v>601</v>
      </c>
      <c r="K259" s="96"/>
      <c r="P259" s="95">
        <f t="shared" si="38"/>
        <v>5084.9833398150822</v>
      </c>
      <c r="T259" s="95">
        <f t="shared" si="39"/>
        <v>5084.9833398150822</v>
      </c>
      <c r="U259" s="95">
        <f t="shared" si="40"/>
        <v>1393.9996006665631</v>
      </c>
    </row>
    <row r="260" spans="1:21" ht="17.25" x14ac:dyDescent="0.35">
      <c r="A260" s="78"/>
      <c r="B260" s="78"/>
      <c r="P260" s="94">
        <f>SUM(P250:P259)</f>
        <v>14269.745920427571</v>
      </c>
    </row>
    <row r="261" spans="1:21" ht="17.25" x14ac:dyDescent="0.35">
      <c r="A261" s="78"/>
      <c r="B261" s="78"/>
      <c r="Q261" s="92">
        <f>K266/$P$260</f>
        <v>0.21477886067704929</v>
      </c>
    </row>
    <row r="262" spans="1:21" ht="17.25" x14ac:dyDescent="0.35">
      <c r="A262" s="78"/>
      <c r="B262" s="78"/>
      <c r="Q262" s="92">
        <f>K267/$P$260</f>
        <v>7.9476415089948446E-3</v>
      </c>
    </row>
    <row r="263" spans="1:21" ht="17.25" x14ac:dyDescent="0.35">
      <c r="A263" s="78"/>
      <c r="B263" s="78"/>
      <c r="D263" s="91" t="s">
        <v>611</v>
      </c>
      <c r="Q263" s="92">
        <f>K268/$P$260</f>
        <v>0.18864826104812155</v>
      </c>
    </row>
    <row r="264" spans="1:21" ht="17.25" x14ac:dyDescent="0.35">
      <c r="A264" s="78"/>
      <c r="B264" s="78"/>
      <c r="D264" s="83"/>
      <c r="E264" s="81" t="s">
        <v>523</v>
      </c>
      <c r="F264" s="81" t="s">
        <v>522</v>
      </c>
      <c r="G264" s="93" t="s">
        <v>610</v>
      </c>
      <c r="K264" s="77" t="s">
        <v>495</v>
      </c>
      <c r="M264" s="77" t="s">
        <v>604</v>
      </c>
      <c r="Q264" s="92">
        <f>K270/$P$260</f>
        <v>0.13108081360948959</v>
      </c>
    </row>
    <row r="265" spans="1:21" ht="17.25" x14ac:dyDescent="0.35">
      <c r="A265" s="78"/>
      <c r="B265" s="78"/>
      <c r="D265" s="81" t="s">
        <v>609</v>
      </c>
      <c r="E265" s="83"/>
      <c r="F265" s="89">
        <f>SUM(F266:F270)</f>
        <v>0.54724668344817951</v>
      </c>
    </row>
    <row r="266" spans="1:21" ht="17.25" x14ac:dyDescent="0.35">
      <c r="A266" s="78"/>
      <c r="B266" s="78"/>
      <c r="D266" s="83" t="s">
        <v>606</v>
      </c>
      <c r="E266" s="87">
        <f>P238</f>
        <v>2799.0889417217122</v>
      </c>
      <c r="F266" s="86">
        <f>E266/$E$277</f>
        <v>0.18972962327337925</v>
      </c>
      <c r="H266" s="91"/>
      <c r="I266" s="91"/>
      <c r="J266" s="77" t="str">
        <f>J238</f>
        <v>Metal Products</v>
      </c>
      <c r="K266" s="88">
        <f>SUMIF($J$238:$J$247,J266,$P$238:$P$247)</f>
        <v>3064.8397709404057</v>
      </c>
      <c r="L266" s="82">
        <f>K266/K$271</f>
        <v>0.20774291465569497</v>
      </c>
      <c r="M266" s="88">
        <f>SUMIF($J$250:$J$259,J266,$P$250:$P$259)</f>
        <v>2151.2651763183558</v>
      </c>
      <c r="N266" s="82">
        <f>M266/M$271</f>
        <v>0.15075707642690084</v>
      </c>
    </row>
    <row r="267" spans="1:21" ht="17.25" x14ac:dyDescent="0.35">
      <c r="A267" s="78"/>
      <c r="B267" s="78"/>
      <c r="D267" s="83" t="s">
        <v>604</v>
      </c>
      <c r="E267" s="87">
        <f>P239</f>
        <v>113.410825</v>
      </c>
      <c r="F267" s="86">
        <f>E267/$E$277</f>
        <v>7.6872845237771726E-3</v>
      </c>
      <c r="H267" s="91"/>
      <c r="I267" s="91"/>
      <c r="J267" s="77" t="str">
        <f>J239</f>
        <v>Concrete</v>
      </c>
      <c r="K267" s="88">
        <f>SUMIF($J$238:$J$247,J267,$P$238:$P$247)</f>
        <v>113.410825</v>
      </c>
      <c r="L267" s="82">
        <f>K267/K$271</f>
        <v>7.6872845237771735E-3</v>
      </c>
      <c r="M267" s="88">
        <f>SUMIF($J$250:$J$259,J267,$P$250:$P$259)</f>
        <v>543.69017847762677</v>
      </c>
      <c r="N267" s="82">
        <f>M267/M$271</f>
        <v>3.8100901130924687E-2</v>
      </c>
    </row>
    <row r="268" spans="1:21" ht="17.25" x14ac:dyDescent="0.35">
      <c r="A268" s="78"/>
      <c r="B268" s="78"/>
      <c r="D268" s="83" t="s">
        <v>608</v>
      </c>
      <c r="E268" s="87">
        <f>P240</f>
        <v>2691.9627534871879</v>
      </c>
      <c r="F268" s="86">
        <f>E268/$E$277</f>
        <v>0.18246832798779697</v>
      </c>
      <c r="H268" s="91"/>
      <c r="I268" s="91"/>
      <c r="J268" s="77" t="str">
        <f>J240</f>
        <v>Labour</v>
      </c>
      <c r="K268" s="88">
        <f>SUMIF($J$238:$J$247,J268,$P$238:$P$247)</f>
        <v>2691.9627534871879</v>
      </c>
      <c r="L268" s="82">
        <f>K268/K$271</f>
        <v>0.182468327987797</v>
      </c>
      <c r="M268" s="88">
        <f>SUMIF($J$250:$J$259,J268,$P$250:$P$259)</f>
        <v>2691.9627534871879</v>
      </c>
      <c r="N268" s="82">
        <f>M268/M$271</f>
        <v>0.18864826104812155</v>
      </c>
    </row>
    <row r="269" spans="1:21" ht="17.25" x14ac:dyDescent="0.35">
      <c r="A269" s="78"/>
      <c r="B269" s="78"/>
      <c r="D269" s="83" t="s">
        <v>602</v>
      </c>
      <c r="E269" s="87">
        <f>P241</f>
        <v>541.73575915687422</v>
      </c>
      <c r="F269" s="86">
        <f>E269/$E$277</f>
        <v>3.6720277075343706E-2</v>
      </c>
      <c r="H269" s="91"/>
      <c r="I269" s="91"/>
      <c r="J269" s="90" t="s">
        <v>601</v>
      </c>
      <c r="K269" s="88">
        <f>SUMIF($J$238:$J$247,J269,$P$238:$P$247)</f>
        <v>7012.3379068940594</v>
      </c>
      <c r="L269" s="82">
        <f>K269/K$271</f>
        <v>0.47531473884580877</v>
      </c>
      <c r="M269" s="88">
        <f>SUMIF($J$250:$J$259,J269,$P$250:$P$259)</f>
        <v>7012.3379068940594</v>
      </c>
      <c r="N269" s="82">
        <f>M269/M$271</f>
        <v>0.49141294778456335</v>
      </c>
    </row>
    <row r="270" spans="1:21" ht="17.25" x14ac:dyDescent="0.35">
      <c r="A270" s="78"/>
      <c r="B270" s="78"/>
      <c r="D270" s="83" t="s">
        <v>601</v>
      </c>
      <c r="E270" s="87">
        <f>P242</f>
        <v>1927.3545670789777</v>
      </c>
      <c r="F270" s="86">
        <f>E270/$E$277</f>
        <v>0.13064117058788238</v>
      </c>
      <c r="J270" s="77" t="str">
        <f>J241</f>
        <v>Electrical machinery</v>
      </c>
      <c r="K270" s="88">
        <f>SUMIF($J$238:$J$247,J270,$P$238:$P$247)</f>
        <v>1870.4899052503411</v>
      </c>
      <c r="L270" s="82">
        <f>K270/K$271</f>
        <v>0.12678673398692214</v>
      </c>
      <c r="M270" s="88">
        <f>SUMIF($J$250:$J$259,J270,$P$250:$P$259)</f>
        <v>1870.4899052503411</v>
      </c>
      <c r="N270" s="82">
        <f>M270/M$271</f>
        <v>0.13108081360948959</v>
      </c>
    </row>
    <row r="271" spans="1:21" ht="17.25" x14ac:dyDescent="0.35">
      <c r="A271" s="78"/>
      <c r="B271" s="78"/>
      <c r="D271" s="81" t="s">
        <v>607</v>
      </c>
      <c r="E271" s="83"/>
      <c r="F271" s="89">
        <f>SUM(F272:F276)</f>
        <v>0.45275331655182049</v>
      </c>
      <c r="K271" s="88">
        <f>SUM(K266:K270)</f>
        <v>14753.041161571993</v>
      </c>
      <c r="M271" s="88">
        <f>SUM(M266:M270)</f>
        <v>14269.745920427571</v>
      </c>
    </row>
    <row r="272" spans="1:21" ht="17.25" x14ac:dyDescent="0.35">
      <c r="A272" s="78"/>
      <c r="B272" s="78"/>
      <c r="D272" s="83" t="s">
        <v>606</v>
      </c>
      <c r="E272" s="87">
        <f>P243</f>
        <v>265.75082921869341</v>
      </c>
      <c r="F272" s="86">
        <f>E272/$E$277</f>
        <v>1.8013291382315687E-2</v>
      </c>
      <c r="J272" s="77" t="s">
        <v>605</v>
      </c>
    </row>
    <row r="273" spans="1:14" ht="17.25" x14ac:dyDescent="0.35">
      <c r="A273" s="78"/>
      <c r="B273" s="78"/>
      <c r="D273" s="83" t="s">
        <v>604</v>
      </c>
      <c r="E273" s="87">
        <f>P244</f>
        <v>0</v>
      </c>
      <c r="F273" s="86">
        <f>E273/$E$277</f>
        <v>0</v>
      </c>
      <c r="J273" s="77" t="s">
        <v>513</v>
      </c>
      <c r="L273" s="85">
        <f>L267+L268/2</f>
        <v>9.8921448517675675E-2</v>
      </c>
      <c r="N273" s="85">
        <f>N267+N268/2</f>
        <v>0.13242503165498545</v>
      </c>
    </row>
    <row r="274" spans="1:14" ht="17.25" x14ac:dyDescent="0.35">
      <c r="A274" s="78"/>
      <c r="B274" s="78"/>
      <c r="D274" s="83" t="s">
        <v>603</v>
      </c>
      <c r="E274" s="87">
        <f>P245</f>
        <v>0</v>
      </c>
      <c r="F274" s="86">
        <f>E274/$E$277</f>
        <v>0</v>
      </c>
      <c r="J274" s="77" t="s">
        <v>514</v>
      </c>
      <c r="L274" s="85">
        <f>L269</f>
        <v>0.47531473884580877</v>
      </c>
      <c r="N274" s="85">
        <f>N269</f>
        <v>0.49141294778456335</v>
      </c>
    </row>
    <row r="275" spans="1:14" ht="17.25" x14ac:dyDescent="0.35">
      <c r="A275" s="78"/>
      <c r="B275" s="78"/>
      <c r="D275" s="83" t="s">
        <v>602</v>
      </c>
      <c r="E275" s="87">
        <f>P246</f>
        <v>1328.7541460934669</v>
      </c>
      <c r="F275" s="86">
        <f>E275/$E$277</f>
        <v>9.0066456911578427E-2</v>
      </c>
      <c r="J275" s="77" t="s">
        <v>515</v>
      </c>
      <c r="L275" s="85">
        <f>L270</f>
        <v>0.12678673398692214</v>
      </c>
      <c r="N275" s="85">
        <f>N270</f>
        <v>0.13108081360948959</v>
      </c>
    </row>
    <row r="276" spans="1:14" ht="17.25" x14ac:dyDescent="0.35">
      <c r="A276" s="78"/>
      <c r="B276" s="78"/>
      <c r="D276" s="83" t="s">
        <v>601</v>
      </c>
      <c r="E276" s="87">
        <f>P247</f>
        <v>5084.9833398150822</v>
      </c>
      <c r="F276" s="86">
        <f>E276/$E$277</f>
        <v>0.34467356825792639</v>
      </c>
      <c r="J276" s="77" t="s">
        <v>276</v>
      </c>
      <c r="L276" s="85">
        <f>L266</f>
        <v>0.20774291465569497</v>
      </c>
      <c r="N276" s="85">
        <f>N266</f>
        <v>0.15075707642690084</v>
      </c>
    </row>
    <row r="277" spans="1:14" ht="17.25" x14ac:dyDescent="0.35">
      <c r="A277" s="78"/>
      <c r="B277" s="78"/>
      <c r="D277" s="81" t="s">
        <v>60</v>
      </c>
      <c r="E277" s="84">
        <f>SUM(E266:E276)</f>
        <v>14753.041161571995</v>
      </c>
      <c r="F277" s="83"/>
      <c r="J277" s="77" t="s">
        <v>256</v>
      </c>
      <c r="L277" s="82">
        <f>L268/2</f>
        <v>9.1234163993898498E-2</v>
      </c>
      <c r="N277" s="82">
        <f>N268/2</f>
        <v>9.4324130524060773E-2</v>
      </c>
    </row>
    <row r="278" spans="1:14" ht="17.25" x14ac:dyDescent="0.35">
      <c r="A278" s="78"/>
      <c r="B278" s="78"/>
      <c r="D278" s="81" t="s">
        <v>600</v>
      </c>
      <c r="E278" s="80">
        <f>E277-E268</f>
        <v>12061.078408084806</v>
      </c>
      <c r="F278" s="79"/>
    </row>
    <row r="279" spans="1:14" ht="17.25" x14ac:dyDescent="0.35">
      <c r="A279" s="78"/>
      <c r="B279" s="78"/>
    </row>
    <row r="280" spans="1:14" ht="17.25" x14ac:dyDescent="0.35">
      <c r="A280" s="78"/>
      <c r="B280" s="78"/>
    </row>
    <row r="281" spans="1:14" ht="17.25" x14ac:dyDescent="0.35">
      <c r="A281" s="78"/>
      <c r="B281" s="78"/>
    </row>
    <row r="282" spans="1:14" ht="17.25" x14ac:dyDescent="0.35">
      <c r="A282" s="78"/>
      <c r="B282" s="78"/>
    </row>
    <row r="283" spans="1:14" ht="17.25" x14ac:dyDescent="0.35">
      <c r="A283" s="78"/>
      <c r="B283" s="78"/>
    </row>
    <row r="284" spans="1:14" ht="17.25" x14ac:dyDescent="0.35">
      <c r="A284" s="78"/>
      <c r="B284" s="78"/>
    </row>
    <row r="285" spans="1:14" ht="17.25" x14ac:dyDescent="0.35">
      <c r="A285" s="78"/>
      <c r="B285" s="78"/>
    </row>
    <row r="286" spans="1:14" ht="17.25" x14ac:dyDescent="0.35">
      <c r="A286" s="78"/>
      <c r="B286" s="78"/>
    </row>
    <row r="287" spans="1:14" ht="17.25" x14ac:dyDescent="0.35">
      <c r="A287" s="78"/>
      <c r="B287" s="78"/>
    </row>
    <row r="288" spans="1:14" ht="17.25" x14ac:dyDescent="0.35">
      <c r="A288" s="78"/>
      <c r="B288" s="78"/>
    </row>
    <row r="289" spans="1:2" ht="17.25" x14ac:dyDescent="0.35">
      <c r="A289" s="78"/>
      <c r="B289" s="78"/>
    </row>
    <row r="290" spans="1:2" ht="17.25" x14ac:dyDescent="0.35">
      <c r="A290" s="78"/>
      <c r="B290" s="78"/>
    </row>
    <row r="291" spans="1:2" ht="17.25" x14ac:dyDescent="0.35">
      <c r="A291" s="78"/>
      <c r="B291" s="78"/>
    </row>
  </sheetData>
  <mergeCells count="8">
    <mergeCell ref="N4:S4"/>
    <mergeCell ref="G73:I73"/>
    <mergeCell ref="L38:M38"/>
    <mergeCell ref="D4:H4"/>
    <mergeCell ref="D38:F38"/>
    <mergeCell ref="G38:I38"/>
    <mergeCell ref="J38:K38"/>
    <mergeCell ref="I4:M4"/>
  </mergeCells>
  <conditionalFormatting sqref="G207:J234">
    <cfRule type="expression" dxfId="29" priority="3">
      <formula>$G207=""</formula>
    </cfRule>
    <cfRule type="expression" dxfId="28" priority="4">
      <formula>$G207="N"</formula>
    </cfRule>
  </conditionalFormatting>
  <conditionalFormatting sqref="G93:O102 G123:O139">
    <cfRule type="expression" dxfId="27" priority="11">
      <formula>$G93=""</formula>
    </cfRule>
    <cfRule type="expression" dxfId="26" priority="12">
      <formula>$G93="N"</formula>
    </cfRule>
  </conditionalFormatting>
  <conditionalFormatting sqref="G108:O117">
    <cfRule type="expression" dxfId="25" priority="9">
      <formula>$G108=""</formula>
    </cfRule>
    <cfRule type="expression" dxfId="24" priority="10">
      <formula>$G108="N"</formula>
    </cfRule>
  </conditionalFormatting>
  <conditionalFormatting sqref="G145:O154">
    <cfRule type="expression" dxfId="23" priority="7">
      <formula>$G145=""</formula>
    </cfRule>
    <cfRule type="expression" dxfId="22" priority="8">
      <formula>$G145="N"</formula>
    </cfRule>
  </conditionalFormatting>
  <conditionalFormatting sqref="G160:O169">
    <cfRule type="expression" dxfId="21" priority="5">
      <formula>$G160=""</formula>
    </cfRule>
    <cfRule type="expression" dxfId="20" priority="6">
      <formula>$G160="N"</formula>
    </cfRule>
  </conditionalFormatting>
  <conditionalFormatting sqref="L207:P234">
    <cfRule type="expression" dxfId="19" priority="1">
      <formula>$G207=""</formula>
    </cfRule>
    <cfRule type="expression" dxfId="18" priority="2">
      <formula>$G207="N"</formula>
    </cfRule>
  </conditionalFormatting>
  <dataValidations count="2">
    <dataValidation type="list" allowBlank="1" showInputMessage="1" showErrorMessage="1" sqref="L93:L101 L108:L116 L145:L153 L123:L138 L160:L168" xr:uid="{37DB719E-AB3C-4D48-8ACC-642CC1F3E12A}">
      <formula1>"E,C"</formula1>
    </dataValidation>
    <dataValidation type="list" allowBlank="1" showInputMessage="1" showErrorMessage="1" sqref="G93:H102 G108:H117 G145:H154 G123:H139 G160:H169" xr:uid="{BCC023AF-7C46-49A1-BC46-93ED7D63DBCA}">
      <formula1>"Y,N"</formula1>
    </dataValidation>
  </dataValidations>
  <hyperlinks>
    <hyperlink ref="X148" r:id="rId1" display="https://www.nrel.gov/docs/fy21osti/78471.pdf" xr:uid="{0F21B249-4E36-47FD-B4B8-16B7337E5102}"/>
    <hyperlink ref="X163" r:id="rId2" display="https://www.nrel.gov/docs/fy21osti/78471.pdf" xr:uid="{D5120A8C-4D69-4397-9C19-782B676743FC}"/>
    <hyperlink ref="X126" r:id="rId3" display="https://www.nrel.gov/docs/fy21osti/78471.pdf" xr:uid="{3F17AF00-3E8E-4E31-8ACD-A6122B764A38}"/>
    <hyperlink ref="AC93" r:id="rId4" xr:uid="{5DD825EC-9BC6-46A4-8246-FF247E1AD799}"/>
    <hyperlink ref="C76" r:id="rId5" xr:uid="{0127D5D7-3F27-4753-8D0E-461E58495738}"/>
    <hyperlink ref="C178" r:id="rId6" xr:uid="{F8848AAA-7C31-4CFE-A11D-CBF81FDE20FB}"/>
  </hyperlinks>
  <pageMargins left="0.7" right="0.7" top="0.75" bottom="0.75" header="0.3" footer="0.3"/>
  <pageSetup orientation="portrait" r:id="rId7"/>
  <drawing r:id="rId8"/>
  <legacy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DA181-F8BB-4671-AC0B-8919DE7AE3A9}">
  <sheetPr codeName="Sheet21">
    <tabColor rgb="FFFFC000"/>
  </sheetPr>
  <dimension ref="A1:AH328"/>
  <sheetViews>
    <sheetView workbookViewId="0"/>
  </sheetViews>
  <sheetFormatPr defaultColWidth="8.85546875" defaultRowHeight="15.75" outlineLevelRow="1" x14ac:dyDescent="0.35"/>
  <cols>
    <col min="1" max="1" width="24.85546875" style="77" customWidth="1"/>
    <col min="2" max="2" width="48.7109375" style="77" customWidth="1"/>
    <col min="3" max="3" width="24.140625" style="77" customWidth="1"/>
    <col min="4" max="4" width="21" style="77" customWidth="1"/>
    <col min="5" max="6" width="17" style="77" customWidth="1"/>
    <col min="7" max="7" width="16.140625" style="77" customWidth="1"/>
    <col min="8" max="8" width="18.42578125" style="77" customWidth="1"/>
    <col min="9" max="13" width="16.42578125" style="77" customWidth="1"/>
    <col min="14" max="14" width="15.140625" style="77" customWidth="1"/>
    <col min="15" max="15" width="39.28515625" style="77" customWidth="1"/>
    <col min="16" max="16" width="17.85546875" style="77" customWidth="1"/>
    <col min="17" max="17" width="22.28515625" style="77" customWidth="1"/>
    <col min="18" max="18" width="14" style="77" customWidth="1"/>
    <col min="19" max="19" width="13.7109375" style="77" bestFit="1" customWidth="1"/>
    <col min="20" max="20" width="28.85546875" style="77" customWidth="1"/>
    <col min="21" max="21" width="8.85546875" style="77"/>
    <col min="22" max="22" width="14.5703125" style="77" customWidth="1"/>
    <col min="23" max="23" width="23.85546875" style="77" customWidth="1"/>
    <col min="24" max="24" width="17" style="77" customWidth="1"/>
    <col min="25" max="25" width="32.28515625" style="77" customWidth="1"/>
    <col min="26" max="26" width="14.7109375" style="77" customWidth="1"/>
    <col min="27" max="27" width="16.140625" style="77" customWidth="1"/>
    <col min="28" max="28" width="27.85546875" style="77" customWidth="1"/>
    <col min="29" max="29" width="32.28515625" style="77" customWidth="1"/>
    <col min="30" max="30" width="18" style="77" customWidth="1"/>
    <col min="31" max="31" width="17" style="77" customWidth="1"/>
    <col min="32" max="32" width="14.28515625" style="77" customWidth="1"/>
    <col min="33" max="16384" width="8.85546875" style="77"/>
  </cols>
  <sheetData>
    <row r="1" spans="1:27" ht="18" customHeight="1" x14ac:dyDescent="0.35"/>
    <row r="2" spans="1:27" s="190" customFormat="1" x14ac:dyDescent="0.35">
      <c r="A2" s="191" t="s">
        <v>874</v>
      </c>
    </row>
    <row r="4" spans="1:27" x14ac:dyDescent="0.35">
      <c r="B4" s="266"/>
      <c r="C4" s="374" t="s">
        <v>873</v>
      </c>
      <c r="D4" s="373"/>
      <c r="E4" s="373"/>
      <c r="F4" s="373"/>
      <c r="G4" s="373"/>
      <c r="H4" s="374" t="s">
        <v>872</v>
      </c>
      <c r="I4" s="373"/>
      <c r="J4" s="373"/>
      <c r="K4" s="373"/>
      <c r="L4" s="372"/>
      <c r="M4" s="266" t="s">
        <v>871</v>
      </c>
      <c r="N4" s="266"/>
      <c r="O4" s="266"/>
      <c r="P4" s="266"/>
    </row>
    <row r="5" spans="1:27" s="369" customFormat="1" ht="47.25" x14ac:dyDescent="0.35">
      <c r="B5" s="371" t="s">
        <v>870</v>
      </c>
      <c r="C5" s="370" t="s">
        <v>869</v>
      </c>
      <c r="D5" s="370" t="s">
        <v>868</v>
      </c>
      <c r="E5" s="370" t="s">
        <v>867</v>
      </c>
      <c r="F5" s="370" t="s">
        <v>866</v>
      </c>
      <c r="G5" s="370" t="s">
        <v>865</v>
      </c>
      <c r="H5" s="370" t="s">
        <v>869</v>
      </c>
      <c r="I5" s="370" t="s">
        <v>868</v>
      </c>
      <c r="J5" s="370" t="s">
        <v>867</v>
      </c>
      <c r="K5" s="370" t="s">
        <v>866</v>
      </c>
      <c r="L5" s="264" t="s">
        <v>865</v>
      </c>
      <c r="M5" s="264" t="s">
        <v>1098</v>
      </c>
      <c r="N5" s="264" t="s">
        <v>863</v>
      </c>
      <c r="O5" s="264" t="s">
        <v>861</v>
      </c>
      <c r="P5" s="264" t="s">
        <v>859</v>
      </c>
      <c r="AA5" s="77"/>
    </row>
    <row r="6" spans="1:27" x14ac:dyDescent="0.35">
      <c r="B6" s="83" t="str">
        <f>C79</f>
        <v>Solar cell</v>
      </c>
      <c r="C6" s="258">
        <f>D91</f>
        <v>0.14499999999999999</v>
      </c>
      <c r="D6" s="259">
        <f>C6*(1+$C$23)</f>
        <v>0.16191666666666665</v>
      </c>
      <c r="E6" s="259">
        <f>M91</f>
        <v>0.21124644138755977</v>
      </c>
      <c r="F6" s="86">
        <f t="shared" ref="F6:F14" si="0">E6/C6-1</f>
        <v>0.4568720095693779</v>
      </c>
      <c r="G6" s="86">
        <f t="shared" ref="G6:G14" si="1">E6/D6-1</f>
        <v>0.3046615011069056</v>
      </c>
      <c r="H6" s="258">
        <f>R85</f>
        <v>0.18</v>
      </c>
      <c r="I6" s="259">
        <f>H6*(1+$C$23)</f>
        <v>0.20099999999999998</v>
      </c>
      <c r="J6" s="258">
        <f>R86</f>
        <v>0.27</v>
      </c>
      <c r="K6" s="86">
        <f>J6/H6-1</f>
        <v>0.50000000000000022</v>
      </c>
      <c r="L6" s="86">
        <f>J6/I6-1</f>
        <v>0.34328358208955234</v>
      </c>
      <c r="M6" s="257" t="s">
        <v>1097</v>
      </c>
      <c r="N6" s="257" t="s">
        <v>1096</v>
      </c>
      <c r="O6" s="257" t="s">
        <v>1095</v>
      </c>
      <c r="P6" s="365">
        <f>N47+N49</f>
        <v>0.10714285714285714</v>
      </c>
    </row>
    <row r="7" spans="1:27" x14ac:dyDescent="0.35">
      <c r="B7" s="83" t="str">
        <f>C94</f>
        <v>PV module - using locally produced cell</v>
      </c>
      <c r="C7" s="258">
        <f>D106</f>
        <v>0.23</v>
      </c>
      <c r="D7" s="259">
        <f>C7*(1+$C$23)</f>
        <v>0.25683333333333336</v>
      </c>
      <c r="E7" s="259">
        <f>M106</f>
        <v>0.38703877981481999</v>
      </c>
      <c r="F7" s="86">
        <f t="shared" si="0"/>
        <v>0.68277730354269561</v>
      </c>
      <c r="G7" s="86">
        <f t="shared" si="1"/>
        <v>0.50696474944121972</v>
      </c>
      <c r="H7" s="258">
        <f>R100</f>
        <v>0.27</v>
      </c>
      <c r="I7" s="259">
        <f>H7*(1+$C$23)</f>
        <v>0.30150000000000005</v>
      </c>
      <c r="J7" s="258">
        <f>R101</f>
        <v>0.3175</v>
      </c>
      <c r="K7" s="86">
        <f>J7/H7-1</f>
        <v>0.17592592592592582</v>
      </c>
      <c r="L7" s="86">
        <f>J7/I7-1</f>
        <v>5.3067993366500588E-2</v>
      </c>
      <c r="M7" s="368" t="s">
        <v>1093</v>
      </c>
      <c r="N7" s="257" t="s">
        <v>1094</v>
      </c>
      <c r="O7" s="257">
        <v>160</v>
      </c>
      <c r="P7" s="365">
        <v>0.17</v>
      </c>
    </row>
    <row r="8" spans="1:27" x14ac:dyDescent="0.35">
      <c r="B8" s="83" t="str">
        <f>C110</f>
        <v>PV module - using imported cell</v>
      </c>
      <c r="C8" s="258">
        <f>D122</f>
        <v>0.23</v>
      </c>
      <c r="D8" s="259">
        <f>C8*(1+$C$23)</f>
        <v>0.25683333333333336</v>
      </c>
      <c r="E8" s="259">
        <f>M122</f>
        <v>0.29753329448516036</v>
      </c>
      <c r="F8" s="86">
        <f t="shared" si="0"/>
        <v>0.29362301950069725</v>
      </c>
      <c r="G8" s="86">
        <f t="shared" si="1"/>
        <v>0.15846837567226602</v>
      </c>
      <c r="H8" s="258">
        <f>R100</f>
        <v>0.27</v>
      </c>
      <c r="I8" s="259">
        <f>H8*(1+$C$23)</f>
        <v>0.30150000000000005</v>
      </c>
      <c r="J8" s="258">
        <f>R101</f>
        <v>0.3175</v>
      </c>
      <c r="K8" s="86">
        <f>J8/H8-1</f>
        <v>0.17592592592592582</v>
      </c>
      <c r="L8" s="86">
        <f>J8/I8-1</f>
        <v>5.3067993366500588E-2</v>
      </c>
      <c r="M8" s="368" t="str">
        <f>M7</f>
        <v>US$10 m</v>
      </c>
      <c r="N8" s="257" t="str">
        <f>N7</f>
        <v>200,000 kWp</v>
      </c>
      <c r="O8" s="257">
        <f>O7</f>
        <v>160</v>
      </c>
      <c r="P8" s="365">
        <f>P7</f>
        <v>0.17</v>
      </c>
    </row>
    <row r="9" spans="1:27" x14ac:dyDescent="0.35">
      <c r="B9" s="83" t="str">
        <f>C124</f>
        <v>Mounting hardware</v>
      </c>
      <c r="C9" s="258">
        <f>D136</f>
        <v>0.14256296530967844</v>
      </c>
      <c r="D9" s="259">
        <f>C9*(1+$C$23)</f>
        <v>0.15919531126247427</v>
      </c>
      <c r="E9" s="259">
        <f>M136</f>
        <v>0.17370024647329457</v>
      </c>
      <c r="F9" s="86">
        <f t="shared" si="0"/>
        <v>0.21841072887323176</v>
      </c>
      <c r="G9" s="86">
        <f t="shared" si="1"/>
        <v>9.1114085558118063E-2</v>
      </c>
      <c r="H9" s="260">
        <f>I9/(1+C23)</f>
        <v>6.4179104477611937E-2</v>
      </c>
      <c r="I9" s="259">
        <f>R135</f>
        <v>7.166666666666667E-2</v>
      </c>
      <c r="J9" s="258">
        <f>R131</f>
        <v>8.5999999999999993E-2</v>
      </c>
      <c r="K9" s="86">
        <f>J9/H9-1</f>
        <v>0.33999999999999986</v>
      </c>
      <c r="L9" s="86">
        <f>J9/I9-1</f>
        <v>0.19999999999999996</v>
      </c>
      <c r="M9" s="257" t="s">
        <v>1093</v>
      </c>
      <c r="N9" s="257" t="s">
        <v>1090</v>
      </c>
      <c r="O9" s="257">
        <v>60</v>
      </c>
      <c r="P9" s="365">
        <f>'[16]From SAM'!D29</f>
        <v>0.26942155512861127</v>
      </c>
    </row>
    <row r="10" spans="1:27" x14ac:dyDescent="0.35">
      <c r="B10" s="83" t="s">
        <v>1092</v>
      </c>
      <c r="C10" s="258">
        <f>D176</f>
        <v>6.347826086956522E-2</v>
      </c>
      <c r="D10" s="259">
        <f>C10*(1+$C$23)</f>
        <v>7.0884057971014491E-2</v>
      </c>
      <c r="E10" s="364">
        <f>M176</f>
        <v>7.9964884697026728E-2</v>
      </c>
      <c r="F10" s="86">
        <f t="shared" si="0"/>
        <v>0.25972078632302376</v>
      </c>
      <c r="G10" s="86">
        <f t="shared" si="1"/>
        <v>0.12810816685643922</v>
      </c>
      <c r="H10" s="366">
        <f>I10/(1+C23)</f>
        <v>4.0298507462686567E-2</v>
      </c>
      <c r="I10" s="367">
        <f>R170</f>
        <v>4.4999999999999998E-2</v>
      </c>
      <c r="J10" s="366">
        <f>R171</f>
        <v>4.4999999999999998E-2</v>
      </c>
      <c r="K10" s="86">
        <f>J10/H10-1</f>
        <v>0.1166666666666667</v>
      </c>
      <c r="L10" s="86">
        <f>J10/I10-1</f>
        <v>0</v>
      </c>
      <c r="M10" s="257" t="s">
        <v>1091</v>
      </c>
      <c r="N10" s="257" t="s">
        <v>1090</v>
      </c>
      <c r="O10" s="257">
        <v>55</v>
      </c>
      <c r="P10" s="365">
        <f>R173</f>
        <v>0.4</v>
      </c>
    </row>
    <row r="11" spans="1:27" x14ac:dyDescent="0.35">
      <c r="B11" s="83" t="s">
        <v>1089</v>
      </c>
      <c r="C11" s="258">
        <f>D72</f>
        <v>1.3559322033898305E-2</v>
      </c>
      <c r="D11" s="259">
        <f>C11*(1+C23)</f>
        <v>1.5141242937853107E-2</v>
      </c>
      <c r="E11" s="364">
        <f>M192</f>
        <v>1.4195080352551835E-2</v>
      </c>
      <c r="F11" s="86">
        <f t="shared" si="0"/>
        <v>4.6887176000697917E-2</v>
      </c>
      <c r="G11" s="86">
        <f t="shared" si="1"/>
        <v>-6.2489096118777954E-2</v>
      </c>
      <c r="H11" s="258"/>
      <c r="I11" s="259">
        <f>H11*(1+$C$23)</f>
        <v>0</v>
      </c>
      <c r="J11" s="258"/>
      <c r="K11" s="86"/>
      <c r="L11" s="86"/>
      <c r="M11" s="83"/>
      <c r="N11" s="83"/>
      <c r="O11" s="83"/>
      <c r="P11" s="83"/>
    </row>
    <row r="12" spans="1:27" x14ac:dyDescent="0.35">
      <c r="B12" s="83" t="s">
        <v>1088</v>
      </c>
      <c r="C12" s="258">
        <f>V201</f>
        <v>7.1186440677966104E-2</v>
      </c>
      <c r="D12" s="259">
        <f>C12*(1+$C$23)</f>
        <v>7.9491525423728823E-2</v>
      </c>
      <c r="E12" s="364">
        <f>M207</f>
        <v>7.6327644071955927E-2</v>
      </c>
      <c r="F12" s="86">
        <f t="shared" si="0"/>
        <v>7.2221666725095224E-2</v>
      </c>
      <c r="G12" s="86">
        <f t="shared" si="1"/>
        <v>-3.9801492484989542E-2</v>
      </c>
      <c r="H12" s="362"/>
      <c r="I12" s="363"/>
      <c r="J12" s="362"/>
      <c r="K12" s="361"/>
      <c r="L12" s="361"/>
      <c r="M12" s="360"/>
      <c r="N12" s="360"/>
      <c r="O12" s="360"/>
      <c r="P12" s="360"/>
    </row>
    <row r="13" spans="1:27" x14ac:dyDescent="0.35">
      <c r="B13" s="255" t="s">
        <v>1087</v>
      </c>
      <c r="C13" s="359">
        <f>C7+C9+C10+C11+C12</f>
        <v>0.52078698889110808</v>
      </c>
      <c r="D13" s="359">
        <f>D7+D9+D10+D11+D12</f>
        <v>0.58154547092840403</v>
      </c>
      <c r="E13" s="359">
        <f>E7+E9+E10+E11+E12</f>
        <v>0.73122663540964905</v>
      </c>
      <c r="F13" s="358">
        <f t="shared" si="0"/>
        <v>0.40408007689789271</v>
      </c>
      <c r="G13" s="358">
        <f t="shared" si="1"/>
        <v>0.25738514349065023</v>
      </c>
      <c r="H13" s="359">
        <f>H7+H9+H10+H11+H12</f>
        <v>0.37447761194029849</v>
      </c>
      <c r="I13" s="359">
        <f>I7+I9+I10+I11+I12</f>
        <v>0.41816666666666669</v>
      </c>
      <c r="J13" s="359">
        <f>J7+J9+J10+J11+J12</f>
        <v>0.44849999999999995</v>
      </c>
      <c r="K13" s="358">
        <f>J13/H13-1</f>
        <v>0.19766839378238332</v>
      </c>
      <c r="L13" s="358">
        <f>J13/I13-1</f>
        <v>7.2538860103626757E-2</v>
      </c>
      <c r="M13" s="255"/>
      <c r="N13" s="255"/>
      <c r="O13" s="255"/>
      <c r="P13" s="255"/>
    </row>
    <row r="14" spans="1:27" x14ac:dyDescent="0.35">
      <c r="B14" s="255" t="s">
        <v>1086</v>
      </c>
      <c r="C14" s="359">
        <f>C8+C9+C10+C11+C12</f>
        <v>0.52078698889110808</v>
      </c>
      <c r="D14" s="359">
        <f>D8+D9+D10+D11+D12</f>
        <v>0.58154547092840403</v>
      </c>
      <c r="E14" s="359">
        <f>E8+E9+E10+E11+E12</f>
        <v>0.64172115007998931</v>
      </c>
      <c r="F14" s="358">
        <f t="shared" si="0"/>
        <v>0.23221425221544356</v>
      </c>
      <c r="G14" s="358">
        <f t="shared" si="1"/>
        <v>0.10347544974517353</v>
      </c>
      <c r="H14" s="359">
        <f>H8+H9+H10+H11+H12</f>
        <v>0.37447761194029849</v>
      </c>
      <c r="I14" s="359">
        <f>I8+I9+I10+I11+I12</f>
        <v>0.41816666666666669</v>
      </c>
      <c r="J14" s="359">
        <f>J8+J9+J10+J11+J12</f>
        <v>0.44849999999999995</v>
      </c>
      <c r="K14" s="358">
        <f>J14/H14-1</f>
        <v>0.19766839378238332</v>
      </c>
      <c r="L14" s="358">
        <f>J14/I14-1</f>
        <v>7.2538860103626757E-2</v>
      </c>
      <c r="M14" s="255"/>
      <c r="N14" s="255"/>
      <c r="O14" s="255"/>
      <c r="P14" s="255"/>
    </row>
    <row r="15" spans="1:27" x14ac:dyDescent="0.35">
      <c r="B15" s="83" t="str">
        <f>C139</f>
        <v>Charge controllers</v>
      </c>
      <c r="C15" s="357"/>
      <c r="D15" s="259">
        <f>C15*(1+$C$23)</f>
        <v>0</v>
      </c>
      <c r="E15" s="356"/>
      <c r="F15" s="86">
        <f>G15/(1+C23)</f>
        <v>1.100355576598586</v>
      </c>
      <c r="G15" s="86">
        <f>F163</f>
        <v>1.2287303938684211</v>
      </c>
      <c r="H15" s="258"/>
      <c r="I15" s="259">
        <f>H15*(1+$C$23)</f>
        <v>0</v>
      </c>
      <c r="J15" s="258"/>
      <c r="K15" s="86"/>
      <c r="L15" s="86"/>
      <c r="M15" s="83"/>
      <c r="N15" s="83"/>
      <c r="O15" s="83"/>
      <c r="P15" s="83"/>
    </row>
    <row r="16" spans="1:27" x14ac:dyDescent="0.35">
      <c r="B16" s="91"/>
      <c r="C16" s="355"/>
      <c r="D16" s="355"/>
      <c r="E16" s="355"/>
      <c r="F16" s="355"/>
      <c r="G16" s="354"/>
      <c r="H16" s="354"/>
      <c r="I16" s="91"/>
      <c r="J16" s="91"/>
      <c r="K16" s="91"/>
      <c r="L16" s="91"/>
      <c r="M16" s="91"/>
      <c r="N16" s="91"/>
      <c r="O16" s="91"/>
    </row>
    <row r="17" spans="1:23" s="190" customFormat="1" x14ac:dyDescent="0.35">
      <c r="A17" s="191" t="s">
        <v>851</v>
      </c>
    </row>
    <row r="18" spans="1:23" ht="16.5" outlineLevel="1" thickBot="1" x14ac:dyDescent="0.4">
      <c r="T18" s="353"/>
      <c r="U18" s="352"/>
      <c r="V18" s="352"/>
      <c r="W18" s="352"/>
    </row>
    <row r="19" spans="1:23" ht="16.5" outlineLevel="1" thickBot="1" x14ac:dyDescent="0.4">
      <c r="B19" s="106" t="s">
        <v>850</v>
      </c>
      <c r="C19" s="251">
        <f>'[16]Key assumptions'!C4</f>
        <v>14.4</v>
      </c>
      <c r="D19" s="77" t="s">
        <v>849</v>
      </c>
    </row>
    <row r="20" spans="1:23" ht="16.5" outlineLevel="1" thickBot="1" x14ac:dyDescent="0.4">
      <c r="B20" s="106" t="s">
        <v>848</v>
      </c>
      <c r="C20" s="251">
        <f>'[16]Key assumptions'!C5</f>
        <v>0.83526682134570773</v>
      </c>
      <c r="D20" s="77" t="s">
        <v>847</v>
      </c>
    </row>
    <row r="21" spans="1:23" ht="16.5" outlineLevel="1" thickBot="1" x14ac:dyDescent="0.4">
      <c r="B21" s="106" t="s">
        <v>846</v>
      </c>
      <c r="C21" s="251">
        <f>'[16]Key assumptions'!C6</f>
        <v>17.239999999999998</v>
      </c>
      <c r="D21" s="77" t="str">
        <f>D19</f>
        <v>Reserve Bank (april 2021)</v>
      </c>
    </row>
    <row r="22" spans="1:23" ht="16.5" outlineLevel="1" thickBot="1" x14ac:dyDescent="0.4">
      <c r="B22" s="106" t="s">
        <v>1085</v>
      </c>
      <c r="C22" s="250">
        <f>'[16]Key assumptions'!C8</f>
        <v>7.0000000000000007E-2</v>
      </c>
    </row>
    <row r="23" spans="1:23" ht="16.5" outlineLevel="1" thickBot="1" x14ac:dyDescent="0.4">
      <c r="B23" s="106" t="s">
        <v>1084</v>
      </c>
      <c r="C23" s="351">
        <f>'[16]Key assumptions'!C9</f>
        <v>0.11666666666666668</v>
      </c>
      <c r="D23" s="77" t="s">
        <v>1083</v>
      </c>
      <c r="L23" s="245"/>
      <c r="M23" s="192"/>
    </row>
    <row r="24" spans="1:23" outlineLevel="1" x14ac:dyDescent="0.35">
      <c r="B24" s="193"/>
      <c r="C24" s="192"/>
      <c r="G24" s="246"/>
      <c r="I24" s="246"/>
      <c r="J24" s="246"/>
      <c r="K24" s="246"/>
      <c r="L24" s="245"/>
      <c r="M24" s="192"/>
    </row>
    <row r="25" spans="1:23" outlineLevel="1" x14ac:dyDescent="0.35">
      <c r="B25" s="248"/>
      <c r="C25" s="247">
        <v>43466</v>
      </c>
      <c r="D25" s="247">
        <v>43647</v>
      </c>
      <c r="E25" s="247">
        <v>43831</v>
      </c>
      <c r="F25" s="350"/>
      <c r="G25" s="246"/>
      <c r="I25" s="246"/>
      <c r="J25" s="246"/>
      <c r="K25" s="246"/>
      <c r="L25" s="245"/>
      <c r="M25" s="192"/>
    </row>
    <row r="26" spans="1:23" outlineLevel="1" x14ac:dyDescent="0.35">
      <c r="B26" s="244" t="s">
        <v>842</v>
      </c>
      <c r="C26" s="243">
        <f>'[16]Key assumptions'!C12</f>
        <v>0</v>
      </c>
      <c r="D26" s="243">
        <f>'[16]Key assumptions'!D12</f>
        <v>0</v>
      </c>
      <c r="E26" s="243">
        <f>'[16]Key assumptions'!E12</f>
        <v>20.9</v>
      </c>
      <c r="F26" s="349"/>
      <c r="G26" s="246"/>
      <c r="I26" s="246"/>
      <c r="J26" s="246"/>
      <c r="K26" s="246"/>
      <c r="L26" s="245"/>
      <c r="M26" s="192"/>
    </row>
    <row r="27" spans="1:23" outlineLevel="1" x14ac:dyDescent="0.35">
      <c r="B27" s="244" t="s">
        <v>839</v>
      </c>
      <c r="C27" s="243">
        <f>'[16]Key assumptions'!C13</f>
        <v>0</v>
      </c>
      <c r="D27" s="243">
        <f>'[16]Key assumptions'!D13</f>
        <v>0</v>
      </c>
      <c r="E27" s="243">
        <f>'[16]Key assumptions'!E13</f>
        <v>50.9</v>
      </c>
      <c r="F27" s="349"/>
      <c r="G27" s="246"/>
      <c r="I27" s="246"/>
      <c r="J27" s="246"/>
      <c r="K27" s="246"/>
      <c r="L27" s="245"/>
      <c r="M27" s="192"/>
    </row>
    <row r="28" spans="1:23" outlineLevel="1" x14ac:dyDescent="0.35">
      <c r="B28" s="244"/>
      <c r="C28" s="243" t="e">
        <f>C27/C26</f>
        <v>#DIV/0!</v>
      </c>
      <c r="D28" s="243" t="e">
        <f>D27/D26</f>
        <v>#DIV/0!</v>
      </c>
      <c r="E28" s="243">
        <f>E27/E26</f>
        <v>2.4354066985645932</v>
      </c>
      <c r="F28" s="349"/>
      <c r="G28" s="92"/>
      <c r="I28" s="92"/>
      <c r="J28" s="92"/>
      <c r="K28" s="92"/>
    </row>
    <row r="29" spans="1:23" outlineLevel="1" x14ac:dyDescent="0.35">
      <c r="B29" s="193"/>
      <c r="C29" s="192"/>
      <c r="D29" s="192"/>
      <c r="E29" s="192"/>
      <c r="F29" s="192"/>
      <c r="G29" s="92"/>
      <c r="I29" s="92"/>
      <c r="J29" s="92"/>
      <c r="K29" s="92"/>
    </row>
    <row r="30" spans="1:23" outlineLevel="1" x14ac:dyDescent="0.35">
      <c r="B30" s="248"/>
      <c r="C30" s="247">
        <v>43466</v>
      </c>
      <c r="D30" s="247">
        <v>43647</v>
      </c>
      <c r="E30" s="247">
        <v>43831</v>
      </c>
      <c r="F30" s="350"/>
      <c r="G30" s="246"/>
      <c r="I30" s="246"/>
      <c r="J30" s="246"/>
      <c r="K30" s="246"/>
      <c r="L30" s="245"/>
      <c r="M30" s="192"/>
      <c r="U30" s="82"/>
      <c r="V30" s="82"/>
    </row>
    <row r="31" spans="1:23" outlineLevel="1" x14ac:dyDescent="0.35">
      <c r="B31" s="244" t="s">
        <v>841</v>
      </c>
      <c r="C31" s="243">
        <f>'[16]Key assumptions'!C17</f>
        <v>0</v>
      </c>
      <c r="D31" s="243">
        <f>'[16]Key assumptions'!D17</f>
        <v>0</v>
      </c>
      <c r="E31" s="243">
        <f>'[16]Key assumptions'!E17</f>
        <v>47.3</v>
      </c>
      <c r="F31" s="349"/>
      <c r="G31" s="246"/>
      <c r="I31" s="246"/>
      <c r="J31" s="246"/>
      <c r="K31" s="246"/>
      <c r="L31" s="245"/>
      <c r="M31" s="192"/>
      <c r="U31" s="82"/>
      <c r="V31" s="82"/>
    </row>
    <row r="32" spans="1:23" outlineLevel="1" x14ac:dyDescent="0.35">
      <c r="B32" s="244" t="s">
        <v>839</v>
      </c>
      <c r="C32" s="243">
        <f>'[16]Key assumptions'!C18</f>
        <v>0</v>
      </c>
      <c r="D32" s="243">
        <f>'[16]Key assumptions'!D18</f>
        <v>0</v>
      </c>
      <c r="E32" s="243">
        <f>'[16]Key assumptions'!E18</f>
        <v>50.9</v>
      </c>
      <c r="F32" s="349"/>
      <c r="G32" s="246"/>
      <c r="I32" s="246"/>
      <c r="J32" s="246"/>
      <c r="K32" s="246"/>
      <c r="L32" s="245"/>
      <c r="M32" s="192"/>
      <c r="U32" s="82"/>
      <c r="V32" s="82"/>
    </row>
    <row r="33" spans="1:23" outlineLevel="1" x14ac:dyDescent="0.35">
      <c r="B33" s="244"/>
      <c r="C33" s="243">
        <f>'[16]Key assumptions'!C19</f>
        <v>0</v>
      </c>
      <c r="D33" s="243">
        <f>'[16]Key assumptions'!D19</f>
        <v>0</v>
      </c>
      <c r="E33" s="243">
        <f>'[16]Key assumptions'!E19</f>
        <v>1.0761099365750528</v>
      </c>
      <c r="F33" s="349"/>
      <c r="G33" s="92"/>
      <c r="I33" s="92"/>
      <c r="J33" s="92"/>
      <c r="K33" s="92"/>
      <c r="U33" s="82"/>
      <c r="V33" s="82"/>
    </row>
    <row r="34" spans="1:23" outlineLevel="1" x14ac:dyDescent="0.35">
      <c r="B34" s="193"/>
      <c r="C34" s="192"/>
      <c r="D34" s="192"/>
      <c r="E34" s="192"/>
      <c r="F34" s="192"/>
      <c r="G34" s="92"/>
      <c r="I34" s="92"/>
      <c r="J34" s="92"/>
      <c r="K34" s="92"/>
    </row>
    <row r="35" spans="1:23" outlineLevel="1" x14ac:dyDescent="0.35">
      <c r="B35" s="248"/>
      <c r="C35" s="247">
        <v>43466</v>
      </c>
      <c r="D35" s="247">
        <v>43647</v>
      </c>
      <c r="E35" s="247">
        <v>43831</v>
      </c>
      <c r="F35" s="350"/>
      <c r="G35" s="246"/>
      <c r="I35" s="246"/>
      <c r="J35" s="246"/>
      <c r="K35" s="246"/>
      <c r="L35" s="245"/>
      <c r="M35" s="192"/>
      <c r="U35" s="82"/>
      <c r="V35" s="82"/>
    </row>
    <row r="36" spans="1:23" outlineLevel="1" x14ac:dyDescent="0.35">
      <c r="B36" s="244" t="s">
        <v>840</v>
      </c>
      <c r="C36" s="243">
        <f>'[16]Key assumptions'!C22</f>
        <v>0</v>
      </c>
      <c r="D36" s="243">
        <f>'[16]Key assumptions'!D22</f>
        <v>0</v>
      </c>
      <c r="E36" s="243">
        <f>'[16]Key assumptions'!E22</f>
        <v>26.4</v>
      </c>
      <c r="F36" s="349"/>
      <c r="G36" s="246"/>
      <c r="I36" s="246"/>
      <c r="J36" s="246"/>
      <c r="K36" s="246"/>
      <c r="L36" s="245"/>
      <c r="M36" s="192"/>
      <c r="U36" s="82"/>
      <c r="V36" s="82"/>
    </row>
    <row r="37" spans="1:23" outlineLevel="1" x14ac:dyDescent="0.35">
      <c r="B37" s="244" t="s">
        <v>839</v>
      </c>
      <c r="C37" s="243">
        <f>'[16]Key assumptions'!C23</f>
        <v>0</v>
      </c>
      <c r="D37" s="243">
        <f>'[16]Key assumptions'!D23</f>
        <v>0</v>
      </c>
      <c r="E37" s="243">
        <f>'[16]Key assumptions'!E23</f>
        <v>50.9</v>
      </c>
      <c r="F37" s="349"/>
      <c r="G37" s="246"/>
      <c r="I37" s="246"/>
      <c r="J37" s="246"/>
      <c r="K37" s="246"/>
      <c r="L37" s="245"/>
      <c r="M37" s="192"/>
      <c r="U37" s="82"/>
      <c r="V37" s="82"/>
    </row>
    <row r="38" spans="1:23" outlineLevel="1" x14ac:dyDescent="0.35">
      <c r="B38" s="244"/>
      <c r="C38" s="243">
        <f>'[16]Key assumptions'!C24</f>
        <v>0</v>
      </c>
      <c r="D38" s="243">
        <f>'[16]Key assumptions'!D24</f>
        <v>0</v>
      </c>
      <c r="E38" s="243">
        <f>'[16]Key assumptions'!E24</f>
        <v>1.928030303030303</v>
      </c>
      <c r="F38" s="349"/>
      <c r="G38" s="92"/>
      <c r="I38" s="92"/>
      <c r="J38" s="92"/>
      <c r="K38" s="92"/>
      <c r="U38" s="82"/>
      <c r="V38" s="82"/>
    </row>
    <row r="39" spans="1:23" x14ac:dyDescent="0.35">
      <c r="B39" s="193"/>
      <c r="C39" s="192"/>
      <c r="D39" s="192"/>
      <c r="E39" s="192"/>
      <c r="F39" s="192"/>
      <c r="G39" s="92"/>
      <c r="I39" s="92"/>
      <c r="J39" s="92"/>
      <c r="K39" s="92"/>
      <c r="U39" s="82"/>
      <c r="V39" s="82"/>
    </row>
    <row r="40" spans="1:23" s="190" customFormat="1" x14ac:dyDescent="0.35">
      <c r="A40" s="191" t="s">
        <v>1082</v>
      </c>
    </row>
    <row r="41" spans="1:23" outlineLevel="1" x14ac:dyDescent="0.35"/>
    <row r="42" spans="1:23" s="91" customFormat="1" outlineLevel="1" x14ac:dyDescent="0.35">
      <c r="B42" s="348"/>
      <c r="C42" s="481" t="s">
        <v>1081</v>
      </c>
      <c r="D42" s="481"/>
      <c r="E42" s="348" t="s">
        <v>1080</v>
      </c>
      <c r="F42" s="348"/>
      <c r="G42" s="77"/>
      <c r="H42" s="77"/>
      <c r="I42" s="348" t="s">
        <v>952</v>
      </c>
      <c r="J42" s="77"/>
      <c r="K42" s="77"/>
      <c r="L42" s="348" t="s">
        <v>1018</v>
      </c>
      <c r="M42" s="481">
        <v>2011</v>
      </c>
      <c r="N42" s="481"/>
      <c r="O42" s="348" t="s">
        <v>1018</v>
      </c>
      <c r="P42" s="481">
        <v>2018</v>
      </c>
      <c r="Q42" s="481"/>
    </row>
    <row r="43" spans="1:23" ht="16.5" outlineLevel="1" thickBot="1" x14ac:dyDescent="0.4">
      <c r="B43" s="347"/>
      <c r="C43" s="346" t="s">
        <v>1079</v>
      </c>
      <c r="D43" s="345" t="s">
        <v>1078</v>
      </c>
      <c r="E43" s="343" t="s">
        <v>1077</v>
      </c>
      <c r="F43" s="344"/>
      <c r="G43" s="342" t="s">
        <v>1076</v>
      </c>
      <c r="H43" s="342" t="s">
        <v>1075</v>
      </c>
      <c r="I43" s="343" t="s">
        <v>1074</v>
      </c>
      <c r="J43" s="342" t="s">
        <v>1072</v>
      </c>
      <c r="K43" s="342" t="s">
        <v>694</v>
      </c>
      <c r="L43" s="343" t="s">
        <v>1073</v>
      </c>
      <c r="M43" s="342" t="s">
        <v>1072</v>
      </c>
      <c r="N43" s="342" t="s">
        <v>694</v>
      </c>
      <c r="O43" s="343"/>
      <c r="P43" s="342" t="s">
        <v>1072</v>
      </c>
      <c r="Q43" s="342" t="s">
        <v>694</v>
      </c>
    </row>
    <row r="44" spans="1:23" s="166" customFormat="1" ht="16.5" outlineLevel="1" thickBot="1" x14ac:dyDescent="0.4">
      <c r="B44" s="106" t="s">
        <v>1071</v>
      </c>
      <c r="C44" s="327">
        <v>0.52</v>
      </c>
      <c r="D44" s="327">
        <v>0.43</v>
      </c>
      <c r="E44" s="106" t="s">
        <v>1070</v>
      </c>
      <c r="F44" s="106"/>
      <c r="G44" s="106">
        <v>4000</v>
      </c>
      <c r="H44" s="106">
        <v>5100</v>
      </c>
      <c r="I44" s="106" t="s">
        <v>1047</v>
      </c>
      <c r="J44" s="106">
        <v>0.19</v>
      </c>
      <c r="K44" s="327">
        <f t="shared" ref="K44:K55" si="2">J44/$J$56</f>
        <v>0.32203389830508483</v>
      </c>
      <c r="L44" s="106" t="s">
        <v>1069</v>
      </c>
      <c r="M44" s="106">
        <v>0.47</v>
      </c>
      <c r="N44" s="327">
        <f t="shared" ref="N44:N50" si="3">M44/$M$51</f>
        <v>0.55952380952380942</v>
      </c>
      <c r="O44" s="106" t="s">
        <v>1068</v>
      </c>
      <c r="P44" s="106">
        <v>3.5999999999999997E-2</v>
      </c>
      <c r="Q44" s="327">
        <f t="shared" ref="Q44:Q50" si="4">P44/$P$50</f>
        <v>0.22499999999999998</v>
      </c>
      <c r="R44" s="317"/>
      <c r="T44" s="317"/>
      <c r="U44" s="317"/>
      <c r="V44" s="317"/>
      <c r="W44" s="317"/>
    </row>
    <row r="45" spans="1:23" ht="16.5" outlineLevel="1" thickBot="1" x14ac:dyDescent="0.4">
      <c r="B45" s="106" t="s">
        <v>540</v>
      </c>
      <c r="C45" s="327">
        <v>0.12</v>
      </c>
      <c r="D45" s="327">
        <v>0.1</v>
      </c>
      <c r="E45" s="106" t="s">
        <v>540</v>
      </c>
      <c r="F45" s="106"/>
      <c r="G45" s="106">
        <v>700</v>
      </c>
      <c r="H45" s="106">
        <v>2000</v>
      </c>
      <c r="I45" s="106" t="s">
        <v>496</v>
      </c>
      <c r="J45" s="106">
        <v>0.02</v>
      </c>
      <c r="K45" s="327">
        <f t="shared" si="2"/>
        <v>3.389830508474577E-2</v>
      </c>
      <c r="L45" s="147" t="s">
        <v>1067</v>
      </c>
      <c r="M45" s="106">
        <f>0.68-0.47</f>
        <v>0.21000000000000008</v>
      </c>
      <c r="N45" s="327">
        <f t="shared" si="3"/>
        <v>0.25000000000000006</v>
      </c>
      <c r="O45" s="147" t="s">
        <v>1066</v>
      </c>
      <c r="P45" s="106">
        <v>5.8999999999999997E-2</v>
      </c>
      <c r="Q45" s="327">
        <f t="shared" si="4"/>
        <v>0.36874999999999997</v>
      </c>
      <c r="R45" s="192"/>
      <c r="T45" s="193"/>
      <c r="U45" s="293"/>
      <c r="V45" s="192"/>
      <c r="W45" s="293"/>
    </row>
    <row r="46" spans="1:23" ht="16.5" outlineLevel="1" thickBot="1" x14ac:dyDescent="0.4">
      <c r="B46" s="106" t="s">
        <v>1012</v>
      </c>
      <c r="C46" s="327">
        <v>0.09</v>
      </c>
      <c r="D46" s="327">
        <v>0.15</v>
      </c>
      <c r="E46" s="106" t="s">
        <v>1065</v>
      </c>
      <c r="F46" s="106"/>
      <c r="G46" s="106">
        <v>400</v>
      </c>
      <c r="H46" s="106">
        <v>1700</v>
      </c>
      <c r="I46" s="106" t="s">
        <v>1046</v>
      </c>
      <c r="J46" s="106">
        <v>0.02</v>
      </c>
      <c r="K46" s="327">
        <f t="shared" si="2"/>
        <v>3.389830508474577E-2</v>
      </c>
      <c r="L46" s="147" t="s">
        <v>1064</v>
      </c>
      <c r="M46" s="106">
        <f>0.72-0.68</f>
        <v>3.9999999999999925E-2</v>
      </c>
      <c r="N46" s="327">
        <f t="shared" si="3"/>
        <v>4.7619047619047526E-2</v>
      </c>
      <c r="O46" s="147" t="s">
        <v>1063</v>
      </c>
      <c r="P46" s="106">
        <v>1.7000000000000001E-2</v>
      </c>
      <c r="Q46" s="327">
        <f t="shared" si="4"/>
        <v>0.10625000000000001</v>
      </c>
      <c r="R46" s="192"/>
      <c r="T46" s="193"/>
      <c r="U46" s="293"/>
      <c r="V46" s="192"/>
      <c r="W46" s="293"/>
    </row>
    <row r="47" spans="1:23" ht="16.5" outlineLevel="1" thickBot="1" x14ac:dyDescent="0.4">
      <c r="B47" s="106" t="s">
        <v>1062</v>
      </c>
      <c r="C47" s="327"/>
      <c r="D47" s="327">
        <v>0.04</v>
      </c>
      <c r="E47" s="106"/>
      <c r="F47" s="106"/>
      <c r="G47" s="106"/>
      <c r="H47" s="106"/>
      <c r="I47" s="106" t="s">
        <v>1045</v>
      </c>
      <c r="J47" s="106">
        <v>0.02</v>
      </c>
      <c r="K47" s="327">
        <f t="shared" si="2"/>
        <v>3.389830508474577E-2</v>
      </c>
      <c r="L47" s="147" t="s">
        <v>608</v>
      </c>
      <c r="M47" s="106">
        <f>0.02</f>
        <v>0.02</v>
      </c>
      <c r="N47" s="327">
        <f t="shared" si="3"/>
        <v>2.3809523809523808E-2</v>
      </c>
      <c r="O47" s="147" t="s">
        <v>1061</v>
      </c>
      <c r="P47" s="106">
        <v>4.8000000000000001E-2</v>
      </c>
      <c r="Q47" s="327">
        <f t="shared" si="4"/>
        <v>0.3</v>
      </c>
      <c r="R47" s="293"/>
      <c r="T47" s="193"/>
      <c r="U47" s="293"/>
      <c r="V47" s="293"/>
      <c r="W47" s="293"/>
    </row>
    <row r="48" spans="1:23" ht="16.5" outlineLevel="1" thickBot="1" x14ac:dyDescent="0.4">
      <c r="B48" s="106" t="s">
        <v>1060</v>
      </c>
      <c r="C48" s="327"/>
      <c r="D48" s="327"/>
      <c r="E48" s="106"/>
      <c r="F48" s="106"/>
      <c r="G48" s="106"/>
      <c r="H48" s="106"/>
      <c r="I48" s="106" t="s">
        <v>1044</v>
      </c>
      <c r="J48" s="106">
        <v>0.01</v>
      </c>
      <c r="K48" s="327">
        <f t="shared" si="2"/>
        <v>1.6949152542372885E-2</v>
      </c>
      <c r="L48" s="147" t="s">
        <v>1059</v>
      </c>
      <c r="M48" s="106">
        <v>0.01</v>
      </c>
      <c r="N48" s="327">
        <f t="shared" si="3"/>
        <v>1.1904761904761904E-2</v>
      </c>
      <c r="O48" s="147"/>
      <c r="P48" s="106"/>
      <c r="Q48" s="327">
        <f t="shared" si="4"/>
        <v>0</v>
      </c>
      <c r="R48" s="293"/>
      <c r="S48" s="149"/>
      <c r="T48" s="193"/>
      <c r="U48" s="293"/>
      <c r="V48" s="293"/>
      <c r="W48" s="293"/>
    </row>
    <row r="49" spans="2:23" ht="32.25" outlineLevel="1" thickBot="1" x14ac:dyDescent="0.4">
      <c r="B49" s="106" t="s">
        <v>1058</v>
      </c>
      <c r="C49" s="327"/>
      <c r="D49" s="327"/>
      <c r="E49" s="106" t="s">
        <v>1057</v>
      </c>
      <c r="F49" s="106"/>
      <c r="G49" s="106">
        <v>350</v>
      </c>
      <c r="H49" s="106">
        <v>2000</v>
      </c>
      <c r="I49" s="106" t="s">
        <v>1043</v>
      </c>
      <c r="J49" s="106">
        <v>0.01</v>
      </c>
      <c r="K49" s="327">
        <f t="shared" si="2"/>
        <v>1.6949152542372885E-2</v>
      </c>
      <c r="L49" s="147" t="s">
        <v>1056</v>
      </c>
      <c r="M49" s="106">
        <v>7.0000000000000007E-2</v>
      </c>
      <c r="N49" s="327">
        <f t="shared" si="3"/>
        <v>8.3333333333333329E-2</v>
      </c>
      <c r="O49" s="147"/>
      <c r="P49" s="106"/>
      <c r="Q49" s="327">
        <f t="shared" si="4"/>
        <v>0</v>
      </c>
      <c r="R49" s="293"/>
      <c r="S49" s="149"/>
      <c r="T49" s="193"/>
      <c r="U49" s="293"/>
      <c r="V49" s="293"/>
      <c r="W49" s="293"/>
    </row>
    <row r="50" spans="2:23" ht="16.5" outlineLevel="1" thickBot="1" x14ac:dyDescent="0.4">
      <c r="B50" s="106" t="s">
        <v>1055</v>
      </c>
      <c r="C50" s="327">
        <v>0.26</v>
      </c>
      <c r="D50" s="327">
        <v>0.28000000000000003</v>
      </c>
      <c r="E50" s="106" t="s">
        <v>1054</v>
      </c>
      <c r="F50" s="106"/>
      <c r="G50" s="106">
        <v>30</v>
      </c>
      <c r="H50" s="106">
        <v>200</v>
      </c>
      <c r="I50" s="106" t="s">
        <v>1042</v>
      </c>
      <c r="J50" s="106">
        <v>0.01</v>
      </c>
      <c r="K50" s="327">
        <f t="shared" si="2"/>
        <v>1.6949152542372885E-2</v>
      </c>
      <c r="L50" s="147" t="s">
        <v>1053</v>
      </c>
      <c r="M50" s="106">
        <v>0.02</v>
      </c>
      <c r="N50" s="327">
        <f t="shared" si="3"/>
        <v>2.3809523809523808E-2</v>
      </c>
      <c r="O50" s="147"/>
      <c r="P50" s="106">
        <f>SUM(P44:P49)</f>
        <v>0.16</v>
      </c>
      <c r="Q50" s="327">
        <f t="shared" si="4"/>
        <v>1</v>
      </c>
      <c r="R50" s="293"/>
      <c r="T50" s="193"/>
      <c r="U50" s="293"/>
      <c r="V50" s="293"/>
      <c r="W50" s="293"/>
    </row>
    <row r="51" spans="2:23" ht="16.5" outlineLevel="1" thickBot="1" x14ac:dyDescent="0.4">
      <c r="B51" s="106"/>
      <c r="C51" s="106"/>
      <c r="D51" s="106"/>
      <c r="E51" s="106" t="s">
        <v>1052</v>
      </c>
      <c r="F51" s="106"/>
      <c r="G51" s="106">
        <v>40</v>
      </c>
      <c r="H51" s="106">
        <v>1000</v>
      </c>
      <c r="I51" s="106" t="s">
        <v>1051</v>
      </c>
      <c r="J51" s="106">
        <v>0.15</v>
      </c>
      <c r="K51" s="327">
        <f t="shared" si="2"/>
        <v>0.25423728813559326</v>
      </c>
      <c r="L51" s="147"/>
      <c r="M51" s="106">
        <f>SUM(M44:M50)</f>
        <v>0.84000000000000008</v>
      </c>
      <c r="N51" s="327"/>
      <c r="O51" s="193"/>
      <c r="P51" s="293"/>
      <c r="Q51" s="293"/>
      <c r="R51" s="293"/>
      <c r="T51" s="193"/>
      <c r="U51" s="293"/>
      <c r="V51" s="293"/>
      <c r="W51" s="293"/>
    </row>
    <row r="52" spans="2:23" ht="16.5" outlineLevel="1" thickBot="1" x14ac:dyDescent="0.4">
      <c r="B52" s="106"/>
      <c r="C52" s="106"/>
      <c r="D52" s="106"/>
      <c r="E52" s="106" t="s">
        <v>1050</v>
      </c>
      <c r="F52" s="106"/>
      <c r="G52" s="106">
        <v>650</v>
      </c>
      <c r="H52" s="106">
        <v>1200</v>
      </c>
      <c r="I52" s="106" t="s">
        <v>540</v>
      </c>
      <c r="J52" s="106">
        <v>0.06</v>
      </c>
      <c r="K52" s="327">
        <f t="shared" si="2"/>
        <v>0.10169491525423731</v>
      </c>
      <c r="L52" s="317"/>
      <c r="M52" s="317"/>
    </row>
    <row r="53" spans="2:23" ht="16.5" outlineLevel="1" thickBot="1" x14ac:dyDescent="0.4">
      <c r="B53" s="106"/>
      <c r="C53" s="106"/>
      <c r="D53" s="106"/>
      <c r="E53" s="106"/>
      <c r="F53" s="106"/>
      <c r="G53" s="106"/>
      <c r="H53" s="106"/>
      <c r="I53" s="106" t="s">
        <v>1038</v>
      </c>
      <c r="J53" s="106">
        <v>0.02</v>
      </c>
      <c r="K53" s="327">
        <f t="shared" si="2"/>
        <v>3.389830508474577E-2</v>
      </c>
      <c r="L53" s="317"/>
      <c r="M53" s="317"/>
    </row>
    <row r="54" spans="2:23" ht="16.5" outlineLevel="1" thickBot="1" x14ac:dyDescent="0.4">
      <c r="B54" s="106"/>
      <c r="C54" s="106"/>
      <c r="D54" s="106"/>
      <c r="E54" s="106"/>
      <c r="F54" s="106"/>
      <c r="G54" s="106"/>
      <c r="H54" s="106"/>
      <c r="I54" s="106" t="s">
        <v>935</v>
      </c>
      <c r="J54" s="106">
        <v>0.01</v>
      </c>
      <c r="K54" s="327">
        <f t="shared" si="2"/>
        <v>1.6949152542372885E-2</v>
      </c>
      <c r="L54" s="317"/>
      <c r="M54" s="317"/>
    </row>
    <row r="55" spans="2:23" ht="16.5" outlineLevel="1" thickBot="1" x14ac:dyDescent="0.4">
      <c r="B55" s="106"/>
      <c r="C55" s="106"/>
      <c r="D55" s="106"/>
      <c r="E55" s="106"/>
      <c r="F55" s="106"/>
      <c r="G55" s="106"/>
      <c r="H55" s="106"/>
      <c r="I55" s="106" t="s">
        <v>550</v>
      </c>
      <c r="J55" s="106">
        <v>7.0000000000000007E-2</v>
      </c>
      <c r="K55" s="327">
        <f t="shared" si="2"/>
        <v>0.11864406779661021</v>
      </c>
      <c r="L55" s="317"/>
      <c r="M55" s="317"/>
    </row>
    <row r="56" spans="2:23" ht="16.5" outlineLevel="1" thickBot="1" x14ac:dyDescent="0.4">
      <c r="B56" s="106"/>
      <c r="C56" s="106"/>
      <c r="D56" s="106"/>
      <c r="E56" s="106"/>
      <c r="F56" s="106"/>
      <c r="G56" s="106"/>
      <c r="H56" s="106"/>
      <c r="I56" s="106" t="s">
        <v>1049</v>
      </c>
      <c r="J56" s="106">
        <f>SUM(J44:J55)</f>
        <v>0.58999999999999986</v>
      </c>
      <c r="K56" s="106">
        <f>SUM(K44:K55)</f>
        <v>1.0000000000000004</v>
      </c>
      <c r="L56" s="317"/>
      <c r="M56" s="317"/>
    </row>
    <row r="57" spans="2:23" outlineLevel="1" x14ac:dyDescent="0.35">
      <c r="B57" s="193"/>
      <c r="C57" s="193"/>
      <c r="D57" s="193"/>
      <c r="E57" s="193"/>
      <c r="F57" s="193"/>
      <c r="G57" s="193"/>
      <c r="H57" s="193"/>
      <c r="I57" s="193"/>
      <c r="J57" s="193"/>
      <c r="K57" s="193"/>
      <c r="L57" s="317"/>
      <c r="M57" s="317"/>
    </row>
    <row r="58" spans="2:23" outlineLevel="1" x14ac:dyDescent="0.35">
      <c r="B58" s="193" t="s">
        <v>1040</v>
      </c>
      <c r="C58" s="193"/>
      <c r="D58" s="193"/>
      <c r="E58" s="193"/>
      <c r="F58" s="193"/>
      <c r="G58" s="193"/>
      <c r="H58" s="193"/>
      <c r="I58" s="193"/>
      <c r="J58" s="193"/>
      <c r="K58" s="193"/>
      <c r="L58" s="317"/>
      <c r="M58" s="317"/>
    </row>
    <row r="59" spans="2:23" ht="16.5" outlineLevel="1" thickBot="1" x14ac:dyDescent="0.4">
      <c r="B59" s="343"/>
      <c r="C59" s="342" t="s">
        <v>1048</v>
      </c>
      <c r="D59" s="342" t="s">
        <v>919</v>
      </c>
      <c r="E59" s="342" t="s">
        <v>694</v>
      </c>
      <c r="F59" s="342"/>
      <c r="G59" s="193"/>
      <c r="H59" s="193"/>
      <c r="I59" s="193"/>
      <c r="J59" s="193"/>
      <c r="K59" s="193"/>
      <c r="L59" s="317"/>
      <c r="M59" s="317"/>
    </row>
    <row r="60" spans="2:23" ht="16.5" outlineLevel="1" thickBot="1" x14ac:dyDescent="0.4">
      <c r="B60" s="106" t="s">
        <v>1047</v>
      </c>
      <c r="C60" s="106">
        <v>55</v>
      </c>
      <c r="D60" s="328">
        <f t="shared" ref="D60:D67" si="5">C60/295</f>
        <v>0.1864406779661017</v>
      </c>
      <c r="E60" s="327">
        <f t="shared" ref="E60:E67" si="6">C60/$C$68</f>
        <v>0.53398058252427183</v>
      </c>
      <c r="F60" s="321"/>
      <c r="G60" s="193"/>
      <c r="H60" s="193"/>
      <c r="I60" s="193"/>
      <c r="J60" s="193"/>
      <c r="K60" s="193"/>
      <c r="L60" s="317"/>
      <c r="M60" s="317"/>
    </row>
    <row r="61" spans="2:23" ht="16.5" outlineLevel="1" thickBot="1" x14ac:dyDescent="0.4">
      <c r="B61" s="106" t="s">
        <v>496</v>
      </c>
      <c r="C61" s="106">
        <v>7</v>
      </c>
      <c r="D61" s="328">
        <f t="shared" si="5"/>
        <v>2.3728813559322035E-2</v>
      </c>
      <c r="E61" s="327">
        <f t="shared" si="6"/>
        <v>6.7961165048543687E-2</v>
      </c>
      <c r="F61" s="321"/>
      <c r="G61" s="193"/>
      <c r="H61" s="193"/>
      <c r="I61" s="193"/>
      <c r="J61" s="193"/>
      <c r="K61" s="193"/>
      <c r="L61" s="317"/>
      <c r="M61" s="317"/>
    </row>
    <row r="62" spans="2:23" ht="16.5" outlineLevel="1" thickBot="1" x14ac:dyDescent="0.4">
      <c r="B62" s="106" t="s">
        <v>1046</v>
      </c>
      <c r="C62" s="106">
        <v>6</v>
      </c>
      <c r="D62" s="328">
        <f t="shared" si="5"/>
        <v>2.0338983050847456E-2</v>
      </c>
      <c r="E62" s="327">
        <f t="shared" si="6"/>
        <v>5.8252427184466021E-2</v>
      </c>
      <c r="F62" s="321"/>
      <c r="G62" s="193"/>
      <c r="H62" s="193"/>
      <c r="I62" s="193"/>
      <c r="J62" s="193"/>
      <c r="K62" s="193"/>
      <c r="L62" s="317"/>
      <c r="M62" s="317"/>
    </row>
    <row r="63" spans="2:23" ht="16.5" outlineLevel="1" thickBot="1" x14ac:dyDescent="0.4">
      <c r="B63" s="106" t="s">
        <v>1045</v>
      </c>
      <c r="C63" s="106">
        <v>5</v>
      </c>
      <c r="D63" s="328">
        <f t="shared" si="5"/>
        <v>1.6949152542372881E-2</v>
      </c>
      <c r="E63" s="327">
        <f t="shared" si="6"/>
        <v>4.8543689320388349E-2</v>
      </c>
      <c r="F63" s="321"/>
      <c r="G63" s="193"/>
      <c r="H63" s="193"/>
      <c r="I63" s="193"/>
      <c r="J63" s="193"/>
      <c r="K63" s="193"/>
      <c r="L63" s="317"/>
      <c r="M63" s="317"/>
    </row>
    <row r="64" spans="2:23" ht="16.5" outlineLevel="1" thickBot="1" x14ac:dyDescent="0.4">
      <c r="B64" s="106" t="s">
        <v>1044</v>
      </c>
      <c r="C64" s="106">
        <v>4</v>
      </c>
      <c r="D64" s="328">
        <f t="shared" si="5"/>
        <v>1.3559322033898305E-2</v>
      </c>
      <c r="E64" s="327">
        <f t="shared" si="6"/>
        <v>3.8834951456310676E-2</v>
      </c>
      <c r="F64" s="321"/>
      <c r="G64" s="193"/>
      <c r="H64" s="193"/>
      <c r="I64" s="193"/>
      <c r="J64" s="193"/>
      <c r="K64" s="193"/>
      <c r="L64" s="317"/>
      <c r="M64" s="317"/>
    </row>
    <row r="65" spans="1:23" outlineLevel="1" x14ac:dyDescent="0.35">
      <c r="B65" s="341" t="s">
        <v>1043</v>
      </c>
      <c r="C65" s="341">
        <v>4</v>
      </c>
      <c r="D65" s="340">
        <f t="shared" si="5"/>
        <v>1.3559322033898305E-2</v>
      </c>
      <c r="E65" s="339">
        <f t="shared" si="6"/>
        <v>3.8834951456310676E-2</v>
      </c>
      <c r="F65" s="321"/>
      <c r="G65" s="193"/>
      <c r="H65" s="193"/>
      <c r="I65" s="193"/>
      <c r="J65" s="193"/>
      <c r="K65" s="193"/>
      <c r="L65" s="317"/>
      <c r="M65" s="317"/>
    </row>
    <row r="66" spans="1:23" outlineLevel="1" x14ac:dyDescent="0.35">
      <c r="B66" s="338" t="s">
        <v>1042</v>
      </c>
      <c r="C66" s="338">
        <v>4</v>
      </c>
      <c r="D66" s="337">
        <f t="shared" si="5"/>
        <v>1.3559322033898305E-2</v>
      </c>
      <c r="E66" s="336">
        <f t="shared" si="6"/>
        <v>3.8834951456310676E-2</v>
      </c>
      <c r="F66" s="321"/>
      <c r="G66" s="193"/>
      <c r="H66" s="193"/>
      <c r="I66" s="193"/>
      <c r="J66" s="193"/>
      <c r="K66" s="193"/>
      <c r="L66" s="317"/>
      <c r="M66" s="317"/>
    </row>
    <row r="67" spans="1:23" ht="16.5" outlineLevel="1" thickBot="1" x14ac:dyDescent="0.4">
      <c r="B67" s="335" t="s">
        <v>1041</v>
      </c>
      <c r="C67" s="335">
        <v>18</v>
      </c>
      <c r="D67" s="334">
        <f t="shared" si="5"/>
        <v>6.1016949152542375E-2</v>
      </c>
      <c r="E67" s="333">
        <f t="shared" si="6"/>
        <v>0.17475728155339806</v>
      </c>
      <c r="F67" s="321"/>
      <c r="G67" s="193"/>
      <c r="H67" s="193"/>
      <c r="I67" s="193"/>
      <c r="J67" s="193"/>
      <c r="K67" s="193"/>
      <c r="L67" s="317"/>
      <c r="M67" s="317"/>
    </row>
    <row r="68" spans="1:23" ht="16.5" outlineLevel="1" thickBot="1" x14ac:dyDescent="0.4">
      <c r="B68" s="332" t="s">
        <v>1040</v>
      </c>
      <c r="C68" s="332">
        <f>SUM(C60:C67)</f>
        <v>103</v>
      </c>
      <c r="D68" s="331">
        <f>SUM(D60:D67)</f>
        <v>0.3491525423728814</v>
      </c>
      <c r="E68" s="330">
        <f>SUM(E60:E67)</f>
        <v>0.99999999999999989</v>
      </c>
      <c r="F68" s="329"/>
      <c r="G68" s="193"/>
      <c r="H68" s="193"/>
      <c r="I68" s="193"/>
      <c r="J68" s="193"/>
      <c r="K68" s="193"/>
      <c r="L68" s="317"/>
      <c r="M68" s="317"/>
    </row>
    <row r="69" spans="1:23" ht="16.5" outlineLevel="1" thickBot="1" x14ac:dyDescent="0.4">
      <c r="B69" s="106" t="s">
        <v>1039</v>
      </c>
      <c r="C69" s="106">
        <v>45</v>
      </c>
      <c r="D69" s="328">
        <f>C69/295</f>
        <v>0.15254237288135594</v>
      </c>
      <c r="E69" s="327"/>
      <c r="F69" s="321"/>
      <c r="K69" s="317"/>
      <c r="L69" s="317"/>
      <c r="M69" s="317"/>
    </row>
    <row r="70" spans="1:23" ht="16.5" outlineLevel="1" thickBot="1" x14ac:dyDescent="0.4">
      <c r="B70" s="106" t="s">
        <v>540</v>
      </c>
      <c r="C70" s="106">
        <v>18</v>
      </c>
      <c r="D70" s="328">
        <f>C70/295</f>
        <v>6.1016949152542375E-2</v>
      </c>
      <c r="E70" s="327"/>
      <c r="F70" s="321"/>
      <c r="G70" s="317"/>
      <c r="H70" s="317"/>
      <c r="I70" s="317"/>
      <c r="J70" s="317"/>
      <c r="K70" s="317"/>
      <c r="L70" s="317"/>
      <c r="M70" s="317"/>
      <c r="O70" s="193"/>
      <c r="P70" s="293"/>
      <c r="Q70" s="293"/>
      <c r="R70" s="293"/>
    </row>
    <row r="71" spans="1:23" ht="16.5" outlineLevel="1" thickBot="1" x14ac:dyDescent="0.4">
      <c r="B71" s="106" t="s">
        <v>1038</v>
      </c>
      <c r="C71" s="106">
        <v>5</v>
      </c>
      <c r="D71" s="328">
        <f>C71/295</f>
        <v>1.6949152542372881E-2</v>
      </c>
      <c r="E71" s="327"/>
      <c r="F71" s="321"/>
      <c r="G71" s="317"/>
      <c r="H71" s="317"/>
      <c r="I71" s="317"/>
      <c r="J71" s="317"/>
      <c r="K71" s="317"/>
      <c r="L71" s="317"/>
      <c r="M71" s="317"/>
      <c r="O71" s="193"/>
      <c r="P71" s="293"/>
      <c r="Q71" s="293"/>
      <c r="R71" s="293"/>
    </row>
    <row r="72" spans="1:23" ht="16.5" outlineLevel="1" thickBot="1" x14ac:dyDescent="0.4">
      <c r="B72" s="106" t="s">
        <v>1037</v>
      </c>
      <c r="C72" s="106">
        <v>4</v>
      </c>
      <c r="D72" s="328">
        <f>C72/295</f>
        <v>1.3559322033898305E-2</v>
      </c>
      <c r="E72" s="327"/>
      <c r="F72" s="321"/>
      <c r="G72" s="317"/>
      <c r="H72" s="317"/>
      <c r="I72" s="317"/>
      <c r="J72" s="317"/>
      <c r="K72" s="317"/>
      <c r="L72" s="317"/>
      <c r="M72" s="317"/>
      <c r="O72" s="193"/>
      <c r="P72" s="293"/>
      <c r="Q72" s="293"/>
      <c r="R72" s="293"/>
    </row>
    <row r="73" spans="1:23" ht="16.5" outlineLevel="1" thickBot="1" x14ac:dyDescent="0.4">
      <c r="B73" s="106" t="s">
        <v>550</v>
      </c>
      <c r="C73" s="106">
        <v>21</v>
      </c>
      <c r="D73" s="328">
        <f>C73/295</f>
        <v>7.1186440677966104E-2</v>
      </c>
      <c r="E73" s="327"/>
      <c r="F73" s="321"/>
      <c r="G73" s="317"/>
      <c r="H73" s="317"/>
      <c r="I73" s="317"/>
      <c r="J73" s="317"/>
      <c r="K73" s="317"/>
      <c r="L73" s="317"/>
      <c r="M73" s="317"/>
      <c r="O73" s="193"/>
      <c r="P73" s="293"/>
      <c r="Q73" s="293"/>
      <c r="R73" s="293"/>
    </row>
    <row r="74" spans="1:23" ht="16.5" outlineLevel="1" thickBot="1" x14ac:dyDescent="0.4">
      <c r="B74" s="326" t="s">
        <v>1036</v>
      </c>
      <c r="C74" s="326">
        <f>SUM(C68:C73)</f>
        <v>196</v>
      </c>
      <c r="D74" s="325">
        <f>SUM(D68:D73)</f>
        <v>0.66440677966101702</v>
      </c>
      <c r="E74" s="324"/>
      <c r="F74" s="323"/>
      <c r="G74" s="317"/>
      <c r="H74" s="317"/>
      <c r="I74" s="317"/>
      <c r="J74" s="317"/>
      <c r="K74" s="317"/>
      <c r="L74" s="317"/>
      <c r="M74" s="317"/>
      <c r="O74" s="193"/>
      <c r="P74" s="293"/>
      <c r="Q74" s="293"/>
      <c r="R74" s="293"/>
    </row>
    <row r="75" spans="1:23" outlineLevel="1" x14ac:dyDescent="0.35">
      <c r="B75" s="193"/>
      <c r="C75" s="193"/>
      <c r="D75" s="322"/>
      <c r="E75" s="321"/>
      <c r="F75" s="321"/>
      <c r="G75" s="317"/>
      <c r="H75" s="317"/>
      <c r="I75" s="317"/>
      <c r="J75" s="317"/>
      <c r="K75" s="317"/>
      <c r="L75" s="317"/>
      <c r="M75" s="317"/>
      <c r="O75" s="193"/>
      <c r="P75" s="293"/>
      <c r="Q75" s="293"/>
      <c r="R75" s="293"/>
    </row>
    <row r="76" spans="1:23" s="91" customFormat="1" x14ac:dyDescent="0.35">
      <c r="B76" s="320"/>
      <c r="C76" s="319"/>
      <c r="D76" s="318"/>
      <c r="E76" s="317"/>
      <c r="F76" s="317"/>
      <c r="G76" s="317"/>
      <c r="H76" s="317"/>
      <c r="I76" s="317"/>
      <c r="J76" s="317"/>
      <c r="K76" s="317"/>
      <c r="L76" s="317"/>
      <c r="M76" s="317"/>
      <c r="O76" s="193"/>
      <c r="P76" s="293"/>
      <c r="Q76" s="293"/>
      <c r="R76" s="293"/>
      <c r="T76" s="77"/>
      <c r="U76" s="77"/>
      <c r="V76" s="77"/>
      <c r="W76" s="77"/>
    </row>
    <row r="77" spans="1:23" s="190" customFormat="1" x14ac:dyDescent="0.35">
      <c r="A77" s="191" t="s">
        <v>1035</v>
      </c>
    </row>
    <row r="79" spans="1:23" s="167" customFormat="1" x14ac:dyDescent="0.35">
      <c r="B79" s="167" t="s">
        <v>733</v>
      </c>
      <c r="C79" s="168" t="s">
        <v>1034</v>
      </c>
      <c r="D79" s="169" t="s">
        <v>732</v>
      </c>
      <c r="E79" s="170" t="s">
        <v>964</v>
      </c>
      <c r="F79" s="169"/>
      <c r="G79" s="169"/>
      <c r="H79" s="169" t="s">
        <v>1023</v>
      </c>
      <c r="I79" s="169"/>
      <c r="J79" s="169"/>
      <c r="K79" s="169"/>
      <c r="L79" s="169"/>
      <c r="N79" s="169" t="s">
        <v>731</v>
      </c>
      <c r="O79" s="168"/>
    </row>
    <row r="80" spans="1:23" ht="16.5" thickBot="1" x14ac:dyDescent="0.4"/>
    <row r="81" spans="2:34" s="166" customFormat="1" ht="48" outlineLevel="1" thickBot="1" x14ac:dyDescent="0.25">
      <c r="B81" s="109" t="s">
        <v>639</v>
      </c>
      <c r="C81" s="110" t="s">
        <v>638</v>
      </c>
      <c r="D81" s="109" t="s">
        <v>637</v>
      </c>
      <c r="E81" s="109" t="s">
        <v>1021</v>
      </c>
      <c r="F81" s="109" t="s">
        <v>1020</v>
      </c>
      <c r="G81" s="109" t="s">
        <v>635</v>
      </c>
      <c r="H81" s="109" t="s">
        <v>634</v>
      </c>
      <c r="I81" s="109" t="s">
        <v>632</v>
      </c>
      <c r="J81" s="109" t="s">
        <v>631</v>
      </c>
      <c r="K81" s="109" t="s">
        <v>630</v>
      </c>
      <c r="L81" s="109" t="s">
        <v>629</v>
      </c>
      <c r="M81" s="109" t="s">
        <v>628</v>
      </c>
      <c r="O81" s="109" t="s">
        <v>730</v>
      </c>
      <c r="P81" s="109" t="s">
        <v>728</v>
      </c>
      <c r="Q81" s="109" t="s">
        <v>916</v>
      </c>
      <c r="R81" s="109" t="s">
        <v>727</v>
      </c>
      <c r="T81" s="109" t="s">
        <v>729</v>
      </c>
      <c r="U81" s="109" t="s">
        <v>728</v>
      </c>
      <c r="V81" s="467" t="s">
        <v>963</v>
      </c>
      <c r="W81" s="469"/>
      <c r="X81" s="467" t="s">
        <v>963</v>
      </c>
      <c r="Y81" s="469"/>
      <c r="Z81" s="467" t="s">
        <v>963</v>
      </c>
      <c r="AA81" s="469"/>
      <c r="AB81" s="467" t="s">
        <v>1033</v>
      </c>
      <c r="AC81" s="469"/>
      <c r="AE81" s="474" t="s">
        <v>962</v>
      </c>
      <c r="AF81" s="475"/>
      <c r="AG81" s="475"/>
      <c r="AH81" s="476"/>
    </row>
    <row r="82" spans="2:34" ht="27" outlineLevel="1" thickBot="1" x14ac:dyDescent="0.4">
      <c r="B82" s="106" t="str">
        <f>O44</f>
        <v>Silicon</v>
      </c>
      <c r="C82" s="105">
        <f>Q44</f>
        <v>0.22499999999999998</v>
      </c>
      <c r="D82" s="99">
        <f>C82*$D91</f>
        <v>3.2624999999999994E-2</v>
      </c>
      <c r="E82" s="101" t="s">
        <v>612</v>
      </c>
      <c r="F82" s="101" t="s">
        <v>613</v>
      </c>
      <c r="G82" s="102"/>
      <c r="H82" s="101"/>
      <c r="I82" s="145" t="str">
        <f>IF(D82=0,"",IF(E82="N","",VLOOKUP(H82,'[16]From SAM'!$B$2:$C$52,2,)))</f>
        <v/>
      </c>
      <c r="J82" s="101"/>
      <c r="K82" s="99" t="str">
        <f>IF(J82="E",$E$33,IF(J82="C",$E$28,""))</f>
        <v/>
      </c>
      <c r="L82" s="100">
        <f t="shared" ref="L82:L90" si="7">IF(M82="","",M82/D82-1)</f>
        <v>0.1166666666666667</v>
      </c>
      <c r="M82" s="99">
        <f>D82*(1+$C$23)</f>
        <v>3.6431249999999991E-2</v>
      </c>
      <c r="O82" s="146" t="s">
        <v>724</v>
      </c>
      <c r="P82" s="145" t="s">
        <v>701</v>
      </c>
      <c r="Q82" s="145"/>
      <c r="R82" s="180">
        <v>50000000</v>
      </c>
      <c r="T82" s="146" t="s">
        <v>724</v>
      </c>
      <c r="U82" s="145" t="s">
        <v>701</v>
      </c>
      <c r="V82" s="180" t="s">
        <v>1032</v>
      </c>
      <c r="W82" s="316" t="s">
        <v>952</v>
      </c>
      <c r="X82" s="180">
        <v>300000000</v>
      </c>
      <c r="Y82" s="288" t="s">
        <v>1030</v>
      </c>
      <c r="Z82" s="180">
        <v>175000000</v>
      </c>
      <c r="AA82" s="288" t="s">
        <v>1018</v>
      </c>
      <c r="AB82" s="180" t="s">
        <v>1031</v>
      </c>
      <c r="AC82" s="288" t="s">
        <v>952</v>
      </c>
      <c r="AD82" s="315"/>
      <c r="AE82" s="287" t="s">
        <v>634</v>
      </c>
      <c r="AF82" s="287" t="str">
        <f>'[16]From SAM'!B24</f>
        <v>Non-metallic minerals</v>
      </c>
      <c r="AG82" s="287"/>
      <c r="AH82" s="287"/>
    </row>
    <row r="83" spans="2:34" ht="32.25" outlineLevel="1" thickBot="1" x14ac:dyDescent="0.4">
      <c r="B83" s="106" t="str">
        <f>O45</f>
        <v>Wafer processing</v>
      </c>
      <c r="C83" s="105">
        <f>Q45</f>
        <v>0.36874999999999997</v>
      </c>
      <c r="D83" s="99">
        <f>C83*$D91</f>
        <v>5.3468749999999989E-2</v>
      </c>
      <c r="E83" s="101" t="s">
        <v>613</v>
      </c>
      <c r="F83" s="101" t="s">
        <v>612</v>
      </c>
      <c r="G83" s="102">
        <v>1</v>
      </c>
      <c r="H83" s="101" t="str">
        <f>'[16]From SAM'!B26</f>
        <v>Recycling and NEC</v>
      </c>
      <c r="I83" s="145">
        <f>IF(D83=0,"",IF(E83="N","",VLOOKUP(H83,'[16]From SAM'!$B$2:$C$52,2,)))</f>
        <v>9.7535709521338151E-2</v>
      </c>
      <c r="J83" s="101"/>
      <c r="K83" s="99" t="str">
        <f>IF(J83="E",$E$33,IF(J83="C",$E$28,""))</f>
        <v/>
      </c>
      <c r="L83" s="100">
        <f t="shared" si="7"/>
        <v>0</v>
      </c>
      <c r="M83" s="99">
        <f>IF(D83=0,"",IF(E83="N",D83,IF(F83="N",D83,(I83*D83*K83*G83)+(D83-D83*I83*G83))))</f>
        <v>5.3468749999999989E-2</v>
      </c>
      <c r="O83" s="146" t="s">
        <v>718</v>
      </c>
      <c r="P83" s="145" t="s">
        <v>719</v>
      </c>
      <c r="Q83" s="145"/>
      <c r="R83" s="180">
        <v>1000000</v>
      </c>
      <c r="T83" s="146" t="s">
        <v>718</v>
      </c>
      <c r="U83" s="145" t="s">
        <v>719</v>
      </c>
      <c r="V83" s="180">
        <v>1000000</v>
      </c>
      <c r="W83" s="312" t="s">
        <v>952</v>
      </c>
      <c r="X83" s="184">
        <v>250000</v>
      </c>
      <c r="Y83" s="288" t="s">
        <v>1030</v>
      </c>
      <c r="Z83" s="184">
        <v>500000</v>
      </c>
      <c r="AA83" s="288" t="s">
        <v>1018</v>
      </c>
      <c r="AB83" s="184">
        <f>0.096*1000</f>
        <v>96</v>
      </c>
      <c r="AC83" s="288"/>
      <c r="AE83" s="287" t="s">
        <v>958</v>
      </c>
      <c r="AF83" s="291">
        <f>M91</f>
        <v>0.21124644138755977</v>
      </c>
      <c r="AG83" s="287" t="s">
        <v>701</v>
      </c>
      <c r="AH83" s="287"/>
    </row>
    <row r="84" spans="2:34" ht="17.25" outlineLevel="1" thickBot="1" x14ac:dyDescent="0.4">
      <c r="B84" s="106" t="str">
        <f>O46</f>
        <v>Metalzation</v>
      </c>
      <c r="C84" s="105">
        <f>Q46</f>
        <v>0.10625000000000001</v>
      </c>
      <c r="D84" s="99">
        <f>C84*$D91</f>
        <v>1.540625E-2</v>
      </c>
      <c r="E84" s="101" t="s">
        <v>613</v>
      </c>
      <c r="F84" s="101" t="s">
        <v>612</v>
      </c>
      <c r="G84" s="102">
        <v>1</v>
      </c>
      <c r="H84" s="101" t="str">
        <f>H83</f>
        <v>Recycling and NEC</v>
      </c>
      <c r="I84" s="145">
        <f>IF(D84=0,"",IF(E84="N","",VLOOKUP(H84,'[16]From SAM'!$B$2:$C$52,2,)))</f>
        <v>9.7535709521338151E-2</v>
      </c>
      <c r="J84" s="101"/>
      <c r="K84" s="99" t="str">
        <f>IF(J84="E",$E$33,IF(J84="C",$E$28,""))</f>
        <v/>
      </c>
      <c r="L84" s="100">
        <f t="shared" si="7"/>
        <v>0</v>
      </c>
      <c r="M84" s="99">
        <f>IF(D84=0,"",IF(E84="N",D84,IF(F84="N",D84,(I84*D84*K84*G84)+(D84-D84*I84*G84))))</f>
        <v>1.540625E-2</v>
      </c>
      <c r="O84" s="146" t="s">
        <v>711</v>
      </c>
      <c r="P84" s="145" t="s">
        <v>710</v>
      </c>
      <c r="Q84" s="145"/>
      <c r="R84" s="179">
        <v>100</v>
      </c>
      <c r="T84" s="146" t="s">
        <v>711</v>
      </c>
      <c r="U84" s="145" t="s">
        <v>710</v>
      </c>
      <c r="V84" s="101"/>
      <c r="W84" s="312"/>
      <c r="X84" s="101">
        <v>600</v>
      </c>
      <c r="Y84" s="288"/>
      <c r="Z84" s="101">
        <v>1496</v>
      </c>
      <c r="AA84" s="288" t="s">
        <v>1018</v>
      </c>
      <c r="AB84" s="101"/>
      <c r="AC84" s="288"/>
      <c r="AE84" s="287" t="s">
        <v>956</v>
      </c>
      <c r="AF84" s="285">
        <f>AF83*$C$19</f>
        <v>3.0419487559808607</v>
      </c>
      <c r="AG84" s="287" t="s">
        <v>955</v>
      </c>
      <c r="AH84" s="287"/>
    </row>
    <row r="85" spans="2:34" ht="32.25" outlineLevel="1" thickBot="1" x14ac:dyDescent="0.4">
      <c r="B85" s="106" t="str">
        <f>O47</f>
        <v xml:space="preserve">remaining cost </v>
      </c>
      <c r="C85" s="105">
        <f>Q47</f>
        <v>0.3</v>
      </c>
      <c r="D85" s="99">
        <f>C85*$D91</f>
        <v>4.3499999999999997E-2</v>
      </c>
      <c r="E85" s="101" t="s">
        <v>613</v>
      </c>
      <c r="F85" s="101" t="s">
        <v>613</v>
      </c>
      <c r="G85" s="102">
        <v>1</v>
      </c>
      <c r="H85" s="101" t="str">
        <f>'[16]From SAM'!B2</f>
        <v xml:space="preserve">Labour </v>
      </c>
      <c r="I85" s="145">
        <f>IF(D85=0,"",IF(E85="N","",VLOOKUP(H85,'[16]From SAM'!$B$2:$C$52,2,)))</f>
        <v>1</v>
      </c>
      <c r="J85" s="101" t="s">
        <v>712</v>
      </c>
      <c r="K85" s="99">
        <f>IF(J85="E",$E$33,IF(J85="C",$E$28,""))</f>
        <v>2.4354066985645932</v>
      </c>
      <c r="L85" s="100">
        <f t="shared" si="7"/>
        <v>1.4354066985645932</v>
      </c>
      <c r="M85" s="99">
        <f>IF(D85=0,"",IF(E85="N",D85,(I85*D85*K85*G85)+(D85-D85*I85*G85)))</f>
        <v>0.10594019138755979</v>
      </c>
      <c r="O85" s="146" t="s">
        <v>707</v>
      </c>
      <c r="P85" s="145" t="s">
        <v>701</v>
      </c>
      <c r="Q85" s="300" t="s">
        <v>1029</v>
      </c>
      <c r="R85" s="101">
        <v>0.18</v>
      </c>
      <c r="S85" s="149" t="s">
        <v>1027</v>
      </c>
      <c r="T85" s="146" t="s">
        <v>707</v>
      </c>
      <c r="U85" s="145" t="s">
        <v>701</v>
      </c>
      <c r="V85" s="101">
        <v>0.19</v>
      </c>
      <c r="W85" s="312" t="s">
        <v>952</v>
      </c>
      <c r="X85" s="101">
        <f>P50</f>
        <v>0.16</v>
      </c>
      <c r="Y85" s="288" t="s">
        <v>1028</v>
      </c>
      <c r="Z85" s="311">
        <v>0.14499999999999999</v>
      </c>
      <c r="AA85" s="309" t="s">
        <v>1013</v>
      </c>
      <c r="AB85" s="101"/>
      <c r="AC85" s="288"/>
      <c r="AE85" s="287" t="s">
        <v>950</v>
      </c>
      <c r="AF85" s="287" t="s">
        <v>949</v>
      </c>
      <c r="AG85" s="287"/>
      <c r="AH85" s="287"/>
    </row>
    <row r="86" spans="2:34" ht="17.25" outlineLevel="1" thickBot="1" x14ac:dyDescent="0.4">
      <c r="B86" s="147"/>
      <c r="C86" s="105"/>
      <c r="D86" s="99"/>
      <c r="E86" s="101"/>
      <c r="F86" s="101"/>
      <c r="G86" s="102"/>
      <c r="H86" s="101"/>
      <c r="I86" s="145"/>
      <c r="J86" s="101"/>
      <c r="K86" s="99"/>
      <c r="L86" s="100" t="str">
        <f t="shared" si="7"/>
        <v/>
      </c>
      <c r="M86" s="99" t="str">
        <f>IF(D86=0,"",IF(E86="N",D86,(I86*D86*K86*G86)+(D86-D86*I86*G86)))</f>
        <v/>
      </c>
      <c r="O86" s="146" t="s">
        <v>700</v>
      </c>
      <c r="P86" s="145" t="s">
        <v>701</v>
      </c>
      <c r="Q86" s="145"/>
      <c r="R86" s="101">
        <v>0.27</v>
      </c>
      <c r="S86" s="149" t="s">
        <v>1027</v>
      </c>
      <c r="T86" s="146" t="s">
        <v>700</v>
      </c>
      <c r="U86" s="145" t="s">
        <v>699</v>
      </c>
      <c r="V86" s="101"/>
      <c r="W86" s="312"/>
      <c r="X86" s="101"/>
      <c r="Y86" s="288"/>
      <c r="Z86" s="101"/>
      <c r="AA86" s="288"/>
      <c r="AB86" s="101"/>
      <c r="AC86" s="288"/>
      <c r="AE86" s="287" t="s">
        <v>944</v>
      </c>
      <c r="AF86" s="285"/>
      <c r="AG86" s="287" t="s">
        <v>943</v>
      </c>
      <c r="AH86" s="287"/>
    </row>
    <row r="87" spans="2:34" ht="17.25" outlineLevel="1" thickBot="1" x14ac:dyDescent="0.4">
      <c r="B87" s="147"/>
      <c r="C87" s="105"/>
      <c r="D87" s="99"/>
      <c r="E87" s="101"/>
      <c r="F87" s="101"/>
      <c r="G87" s="102"/>
      <c r="H87" s="101"/>
      <c r="I87" s="145"/>
      <c r="J87" s="101"/>
      <c r="K87" s="99"/>
      <c r="L87" s="100" t="str">
        <f t="shared" si="7"/>
        <v/>
      </c>
      <c r="M87" s="99" t="str">
        <f>IF(D87=0,"",IF(E87="N",D87,(I87*D87*K87*G87)+(D87-D87*I87*G87)))</f>
        <v/>
      </c>
      <c r="O87" s="146" t="s">
        <v>697</v>
      </c>
      <c r="P87" s="145" t="s">
        <v>694</v>
      </c>
      <c r="Q87" s="145"/>
      <c r="R87" s="145">
        <f>R86/R85-1</f>
        <v>0.50000000000000022</v>
      </c>
      <c r="T87" s="146" t="s">
        <v>697</v>
      </c>
      <c r="U87" s="145" t="s">
        <v>694</v>
      </c>
      <c r="V87" s="145">
        <f>V86/V85-1</f>
        <v>-1</v>
      </c>
      <c r="W87" s="312"/>
      <c r="X87" s="145">
        <f>X86/X85-1</f>
        <v>-1</v>
      </c>
      <c r="Y87" s="288"/>
      <c r="Z87" s="145">
        <f>Z86/Z85-1</f>
        <v>-1</v>
      </c>
      <c r="AA87" s="288"/>
      <c r="AB87" s="145"/>
      <c r="AC87" s="288"/>
      <c r="AE87" s="287" t="s">
        <v>942</v>
      </c>
      <c r="AF87" s="285">
        <f>AF84*1000000</f>
        <v>3041948.7559808604</v>
      </c>
      <c r="AG87" s="287"/>
      <c r="AH87" s="287"/>
    </row>
    <row r="88" spans="2:34" ht="17.25" outlineLevel="1" thickBot="1" x14ac:dyDescent="0.4">
      <c r="B88" s="147"/>
      <c r="C88" s="105"/>
      <c r="D88" s="99"/>
      <c r="E88" s="101"/>
      <c r="F88" s="101"/>
      <c r="G88" s="102"/>
      <c r="H88" s="101"/>
      <c r="I88" s="145"/>
      <c r="J88" s="101"/>
      <c r="K88" s="99"/>
      <c r="L88" s="100" t="str">
        <f t="shared" si="7"/>
        <v/>
      </c>
      <c r="M88" s="99" t="str">
        <f>IF(D88=0,"",IF(E88="N",D88,(I88*D88*K88*G88)+(D88-D88*I88*G88)))</f>
        <v/>
      </c>
      <c r="O88" s="146" t="s">
        <v>695</v>
      </c>
      <c r="P88" s="145" t="s">
        <v>694</v>
      </c>
      <c r="Q88" s="145"/>
      <c r="R88" s="101"/>
      <c r="T88" s="146" t="s">
        <v>695</v>
      </c>
      <c r="U88" s="145" t="s">
        <v>694</v>
      </c>
      <c r="V88" s="101"/>
      <c r="W88" s="312"/>
      <c r="X88" s="101"/>
      <c r="Y88" s="288"/>
      <c r="Z88" s="101"/>
      <c r="AA88" s="288"/>
      <c r="AB88" s="101"/>
      <c r="AC88" s="288"/>
      <c r="AE88" s="287" t="s">
        <v>941</v>
      </c>
      <c r="AF88" s="287">
        <f>'[16]From SAM'!E24</f>
        <v>0.89423328598982488</v>
      </c>
      <c r="AG88" s="287" t="s">
        <v>940</v>
      </c>
      <c r="AH88" s="287"/>
    </row>
    <row r="89" spans="2:34" ht="17.25" outlineLevel="1" thickBot="1" x14ac:dyDescent="0.4">
      <c r="B89" s="147"/>
      <c r="C89" s="105"/>
      <c r="D89" s="99"/>
      <c r="E89" s="101"/>
      <c r="F89" s="101"/>
      <c r="G89" s="102"/>
      <c r="H89" s="101"/>
      <c r="I89" s="145"/>
      <c r="J89" s="101"/>
      <c r="K89" s="99"/>
      <c r="L89" s="100" t="str">
        <f t="shared" si="7"/>
        <v/>
      </c>
      <c r="M89" s="99" t="str">
        <f>IF(D89=0,"",(I89*D89*K89*G89)+(D89-D89*I89*G89))</f>
        <v/>
      </c>
      <c r="AE89" s="77" t="s">
        <v>939</v>
      </c>
      <c r="AF89" s="85">
        <f>P6</f>
        <v>0.10714285714285714</v>
      </c>
      <c r="AG89" s="287"/>
      <c r="AH89" s="287"/>
    </row>
    <row r="90" spans="2:34" ht="16.5" outlineLevel="1" thickBot="1" x14ac:dyDescent="0.4">
      <c r="B90" s="147"/>
      <c r="C90" s="105"/>
      <c r="D90" s="99"/>
      <c r="E90" s="101"/>
      <c r="F90" s="101"/>
      <c r="G90" s="102"/>
      <c r="H90" s="101"/>
      <c r="I90" s="145" t="str">
        <f>IF(D90=0,"",IF(E90="N","",VLOOKUP(H90,'[16]From SAM'!$B$2:$C$52,2,)))</f>
        <v/>
      </c>
      <c r="J90" s="101"/>
      <c r="K90" s="99" t="str">
        <f>IF(J90="E",$E$33,IF(J90="C",$E$28,""))</f>
        <v/>
      </c>
      <c r="L90" s="100" t="str">
        <f t="shared" si="7"/>
        <v/>
      </c>
      <c r="M90" s="99" t="str">
        <f>IF(D90=0,"",(I90*D90*K90*G90)+(D90-D90*I90*G90))</f>
        <v/>
      </c>
      <c r="O90" s="159" t="s">
        <v>691</v>
      </c>
      <c r="P90" s="158" t="str">
        <f>P85</f>
        <v>US$</v>
      </c>
      <c r="Q90" s="158"/>
      <c r="R90" s="158">
        <f>R85</f>
        <v>0.18</v>
      </c>
      <c r="AE90" s="77" t="s">
        <v>938</v>
      </c>
      <c r="AF90" s="77">
        <f>'[16]From SAM'!D24</f>
        <v>0.27312447381898247</v>
      </c>
    </row>
    <row r="91" spans="2:34" s="91" customFormat="1" ht="17.25" outlineLevel="1" thickBot="1" x14ac:dyDescent="0.4">
      <c r="B91" s="157" t="s">
        <v>690</v>
      </c>
      <c r="C91" s="156">
        <f>SUM(C82:C90)</f>
        <v>1</v>
      </c>
      <c r="D91" s="281">
        <f>R92</f>
        <v>0.14499999999999999</v>
      </c>
      <c r="E91" s="101"/>
      <c r="F91" s="101"/>
      <c r="G91" s="154"/>
      <c r="H91" s="153"/>
      <c r="I91" s="145"/>
      <c r="J91" s="153"/>
      <c r="K91" s="153"/>
      <c r="L91" s="152">
        <f>M91/D91-1</f>
        <v>0.4568720095693779</v>
      </c>
      <c r="M91" s="151">
        <f>SUM(M82:M90)</f>
        <v>0.21124644138755977</v>
      </c>
      <c r="O91" s="146" t="s">
        <v>689</v>
      </c>
      <c r="P91" s="145" t="str">
        <f>P90</f>
        <v>US$</v>
      </c>
      <c r="Q91" s="145"/>
      <c r="R91" s="145">
        <f>Z85</f>
        <v>0.14499999999999999</v>
      </c>
      <c r="T91" s="77"/>
      <c r="U91" s="77"/>
      <c r="V91" s="77"/>
      <c r="W91" s="77"/>
      <c r="AE91" s="285" t="s">
        <v>936</v>
      </c>
      <c r="AF91" s="285">
        <f>AF88*AF87/1000000</f>
        <v>2.7202118318734247</v>
      </c>
    </row>
    <row r="92" spans="2:34" ht="16.5" outlineLevel="1" thickBot="1" x14ac:dyDescent="0.4">
      <c r="B92" s="146"/>
      <c r="C92" s="148"/>
      <c r="D92" s="314"/>
      <c r="E92" s="147"/>
      <c r="F92" s="147"/>
      <c r="G92" s="147"/>
      <c r="H92" s="147"/>
      <c r="I92" s="147"/>
      <c r="J92" s="147"/>
      <c r="K92" s="147"/>
      <c r="L92" s="145"/>
      <c r="M92" s="145"/>
      <c r="O92" s="146" t="s">
        <v>995</v>
      </c>
      <c r="P92" s="145" t="str">
        <f>P91</f>
        <v>US$</v>
      </c>
      <c r="Q92" s="145"/>
      <c r="R92" s="313">
        <f>R91</f>
        <v>0.14499999999999999</v>
      </c>
      <c r="S92" s="143"/>
      <c r="AE92" s="77" t="s">
        <v>936</v>
      </c>
      <c r="AF92" s="92">
        <f>AF91*AF89/AF90</f>
        <v>1.0671005187689184</v>
      </c>
    </row>
    <row r="93" spans="2:34" outlineLevel="1" x14ac:dyDescent="0.35"/>
    <row r="94" spans="2:34" s="167" customFormat="1" x14ac:dyDescent="0.35">
      <c r="B94" s="167" t="s">
        <v>733</v>
      </c>
      <c r="C94" s="168" t="s">
        <v>1026</v>
      </c>
      <c r="D94" s="169" t="s">
        <v>732</v>
      </c>
      <c r="E94" s="170" t="s">
        <v>964</v>
      </c>
      <c r="F94" s="169"/>
      <c r="G94" s="169"/>
      <c r="H94" s="169" t="s">
        <v>1023</v>
      </c>
      <c r="I94" s="169"/>
      <c r="J94" s="169"/>
      <c r="K94" s="169"/>
      <c r="L94" s="169"/>
      <c r="N94" s="169" t="s">
        <v>731</v>
      </c>
      <c r="O94" s="168" t="s">
        <v>1022</v>
      </c>
    </row>
    <row r="95" spans="2:34" ht="16.5" thickBot="1" x14ac:dyDescent="0.4"/>
    <row r="96" spans="2:34" s="166" customFormat="1" ht="48" outlineLevel="1" thickBot="1" x14ac:dyDescent="0.25">
      <c r="B96" s="109" t="s">
        <v>639</v>
      </c>
      <c r="C96" s="110" t="s">
        <v>638</v>
      </c>
      <c r="D96" s="109" t="s">
        <v>637</v>
      </c>
      <c r="E96" s="109" t="s">
        <v>1021</v>
      </c>
      <c r="F96" s="109" t="s">
        <v>1020</v>
      </c>
      <c r="G96" s="109" t="s">
        <v>635</v>
      </c>
      <c r="H96" s="109" t="s">
        <v>634</v>
      </c>
      <c r="I96" s="109" t="s">
        <v>632</v>
      </c>
      <c r="J96" s="109" t="s">
        <v>631</v>
      </c>
      <c r="K96" s="109" t="s">
        <v>630</v>
      </c>
      <c r="L96" s="109" t="s">
        <v>629</v>
      </c>
      <c r="M96" s="109" t="s">
        <v>628</v>
      </c>
      <c r="O96" s="109" t="s">
        <v>730</v>
      </c>
      <c r="P96" s="109" t="s">
        <v>728</v>
      </c>
      <c r="Q96" s="109" t="s">
        <v>916</v>
      </c>
      <c r="R96" s="109" t="s">
        <v>727</v>
      </c>
      <c r="T96" s="109" t="s">
        <v>729</v>
      </c>
      <c r="U96" s="109" t="s">
        <v>728</v>
      </c>
      <c r="V96" s="467" t="s">
        <v>963</v>
      </c>
      <c r="W96" s="469"/>
      <c r="X96" s="467" t="s">
        <v>963</v>
      </c>
      <c r="Y96" s="469"/>
      <c r="Z96" s="467" t="s">
        <v>963</v>
      </c>
      <c r="AA96" s="469"/>
      <c r="AB96" s="467" t="s">
        <v>963</v>
      </c>
      <c r="AC96" s="469"/>
    </row>
    <row r="97" spans="2:29" ht="63.75" outlineLevel="1" thickBot="1" x14ac:dyDescent="0.4">
      <c r="B97" s="106" t="str">
        <f t="shared" ref="B97:B104" si="8">B60</f>
        <v>Silicon cell</v>
      </c>
      <c r="C97" s="105">
        <f t="shared" ref="C97:C104" si="9">E60</f>
        <v>0.53398058252427183</v>
      </c>
      <c r="D97" s="99">
        <f>C97*$D106</f>
        <v>0.12281553398058252</v>
      </c>
      <c r="E97" s="101" t="s">
        <v>612</v>
      </c>
      <c r="F97" s="101" t="s">
        <v>613</v>
      </c>
      <c r="G97" s="102"/>
      <c r="H97" s="101"/>
      <c r="I97" s="145"/>
      <c r="J97" s="101"/>
      <c r="K97" s="99"/>
      <c r="L97" s="100">
        <f t="shared" ref="L97:L105" si="10">IF(M97="","",M97/D97-1)</f>
        <v>0.72003031327420208</v>
      </c>
      <c r="M97" s="99">
        <f>M91</f>
        <v>0.21124644138755977</v>
      </c>
      <c r="O97" s="146" t="s">
        <v>724</v>
      </c>
      <c r="P97" s="145" t="s">
        <v>701</v>
      </c>
      <c r="Q97" s="145" t="s">
        <v>1025</v>
      </c>
      <c r="R97" s="180">
        <v>10000000</v>
      </c>
      <c r="S97" s="77">
        <f>210/120*6</f>
        <v>10.5</v>
      </c>
      <c r="T97" s="146" t="s">
        <v>724</v>
      </c>
      <c r="U97" s="145" t="s">
        <v>701</v>
      </c>
      <c r="V97" s="180">
        <v>25000000</v>
      </c>
      <c r="W97" s="101" t="s">
        <v>1014</v>
      </c>
      <c r="X97" s="180" t="s">
        <v>1019</v>
      </c>
      <c r="Y97" s="288" t="s">
        <v>952</v>
      </c>
      <c r="Z97" s="180">
        <v>80000000</v>
      </c>
      <c r="AA97" s="288" t="s">
        <v>1018</v>
      </c>
      <c r="AB97" s="180">
        <v>30000000</v>
      </c>
      <c r="AC97" s="312" t="s">
        <v>1017</v>
      </c>
    </row>
    <row r="98" spans="2:29" ht="16.5" outlineLevel="1" thickBot="1" x14ac:dyDescent="0.4">
      <c r="B98" s="106" t="str">
        <f t="shared" si="8"/>
        <v>Glass</v>
      </c>
      <c r="C98" s="105">
        <f t="shared" si="9"/>
        <v>6.7961165048543687E-2</v>
      </c>
      <c r="D98" s="99">
        <f>C98*$D106</f>
        <v>1.5631067961165049E-2</v>
      </c>
      <c r="E98" s="101" t="s">
        <v>613</v>
      </c>
      <c r="F98" s="101" t="s">
        <v>613</v>
      </c>
      <c r="G98" s="102">
        <v>1</v>
      </c>
      <c r="H98" s="101" t="s">
        <v>602</v>
      </c>
      <c r="I98" s="145">
        <f>IF(D98=0,"",VLOOKUP(H98,'[16]From SAM'!$B$2:$C$52,2,))</f>
        <v>0.13001734713264965</v>
      </c>
      <c r="J98" s="101" t="s">
        <v>712</v>
      </c>
      <c r="K98" s="99">
        <f>IF(J98="E",$E$33,IF(J98="C",$E$28,""))</f>
        <v>2.4354066985645932</v>
      </c>
      <c r="L98" s="100">
        <f t="shared" si="10"/>
        <v>0.18662777100380334</v>
      </c>
      <c r="M98" s="99">
        <f>IF(D98=0,"",(I98*D98*K98*G98)+(D98-D98*I98*G98))</f>
        <v>1.8548259333166246E-2</v>
      </c>
      <c r="O98" s="146" t="s">
        <v>718</v>
      </c>
      <c r="P98" s="145" t="s">
        <v>719</v>
      </c>
      <c r="Q98" s="145">
        <v>120</v>
      </c>
      <c r="R98" s="180">
        <v>210000</v>
      </c>
      <c r="S98" s="77">
        <f>210/120*90</f>
        <v>157.5</v>
      </c>
      <c r="T98" s="146" t="s">
        <v>718</v>
      </c>
      <c r="U98" s="145" t="s">
        <v>181</v>
      </c>
      <c r="V98" s="180">
        <v>1000</v>
      </c>
      <c r="W98" s="101">
        <f>V97/(V98*1000)</f>
        <v>25</v>
      </c>
      <c r="X98" s="184">
        <f>200000000*0.064</f>
        <v>12800000</v>
      </c>
      <c r="Y98" s="288"/>
      <c r="Z98" s="184">
        <v>500</v>
      </c>
      <c r="AA98" s="288">
        <f>Z97/Z98/1000</f>
        <v>160</v>
      </c>
      <c r="AB98" s="184">
        <v>1000</v>
      </c>
      <c r="AC98" s="288">
        <f>AB97/AB98/1000</f>
        <v>30</v>
      </c>
    </row>
    <row r="99" spans="2:29" ht="16.5" outlineLevel="1" thickBot="1" x14ac:dyDescent="0.4">
      <c r="B99" s="106" t="str">
        <f t="shared" si="8"/>
        <v>Al frame</v>
      </c>
      <c r="C99" s="105">
        <f t="shared" si="9"/>
        <v>5.8252427184466021E-2</v>
      </c>
      <c r="D99" s="99">
        <f>C99*$D106</f>
        <v>1.3398058252427186E-2</v>
      </c>
      <c r="E99" s="101" t="s">
        <v>613</v>
      </c>
      <c r="F99" s="101" t="s">
        <v>613</v>
      </c>
      <c r="G99" s="102">
        <v>0.65</v>
      </c>
      <c r="H99" s="101" t="s">
        <v>879</v>
      </c>
      <c r="I99" s="145">
        <f>IF(D99=0,"",VLOOKUP(H99,'[16]From SAM'!$B$2:$C$52,2,))</f>
        <v>0.23534870376544167</v>
      </c>
      <c r="J99" s="101" t="s">
        <v>712</v>
      </c>
      <c r="K99" s="99">
        <f>IF(J99="E",$E$33,IF(J99="C",$E$28,""))</f>
        <v>2.4354066985645932</v>
      </c>
      <c r="L99" s="100">
        <f t="shared" si="10"/>
        <v>0.21958371882421579</v>
      </c>
      <c r="M99" s="99">
        <f>IF(D99=0,"",(I99*D99*K99*G99)+(D99-D99*I99*G99))</f>
        <v>1.6340053708518622E-2</v>
      </c>
      <c r="O99" s="146" t="s">
        <v>711</v>
      </c>
      <c r="P99" s="145" t="s">
        <v>710</v>
      </c>
      <c r="Q99" s="145">
        <v>90</v>
      </c>
      <c r="R99" s="101">
        <v>160</v>
      </c>
      <c r="T99" s="146" t="s">
        <v>711</v>
      </c>
      <c r="U99" s="145" t="s">
        <v>710</v>
      </c>
      <c r="V99" s="101"/>
      <c r="W99" s="101"/>
      <c r="X99" s="101"/>
      <c r="Y99" s="288"/>
      <c r="Z99" s="101">
        <v>508</v>
      </c>
      <c r="AA99" s="288"/>
      <c r="AB99" s="101"/>
      <c r="AC99" s="288"/>
    </row>
    <row r="100" spans="2:29" ht="16.5" outlineLevel="1" thickBot="1" x14ac:dyDescent="0.4">
      <c r="B100" s="106" t="str">
        <f t="shared" si="8"/>
        <v>EVA</v>
      </c>
      <c r="C100" s="105">
        <f t="shared" si="9"/>
        <v>4.8543689320388349E-2</v>
      </c>
      <c r="D100" s="99">
        <f>C100*$D106</f>
        <v>1.1165048543689321E-2</v>
      </c>
      <c r="E100" s="101" t="s">
        <v>612</v>
      </c>
      <c r="F100" s="101"/>
      <c r="G100" s="102"/>
      <c r="H100" s="101"/>
      <c r="I100" s="145"/>
      <c r="J100" s="101"/>
      <c r="K100" s="99"/>
      <c r="L100" s="100">
        <f t="shared" si="10"/>
        <v>0.1166666666666667</v>
      </c>
      <c r="M100" s="99">
        <f>D100*(1+$C$23)</f>
        <v>1.2467637540453077E-2</v>
      </c>
      <c r="O100" s="146" t="s">
        <v>707</v>
      </c>
      <c r="P100" s="145" t="s">
        <v>701</v>
      </c>
      <c r="Q100" s="145" t="s">
        <v>1016</v>
      </c>
      <c r="R100" s="101">
        <v>0.27</v>
      </c>
      <c r="T100" s="146" t="s">
        <v>707</v>
      </c>
      <c r="U100" s="145" t="s">
        <v>701</v>
      </c>
      <c r="V100" s="101" t="s">
        <v>1015</v>
      </c>
      <c r="W100" s="101" t="s">
        <v>1014</v>
      </c>
      <c r="X100" s="311">
        <v>0.23</v>
      </c>
      <c r="Y100" s="309" t="s">
        <v>1013</v>
      </c>
      <c r="Z100" s="101"/>
      <c r="AA100" s="288"/>
      <c r="AB100" s="101"/>
      <c r="AC100" s="288"/>
    </row>
    <row r="101" spans="2:29" ht="16.5" outlineLevel="1" thickBot="1" x14ac:dyDescent="0.4">
      <c r="B101" s="106" t="str">
        <f t="shared" si="8"/>
        <v>Backsheets</v>
      </c>
      <c r="C101" s="105">
        <f t="shared" si="9"/>
        <v>3.8834951456310676E-2</v>
      </c>
      <c r="D101" s="99">
        <f>C101*$D106</f>
        <v>8.9320388349514567E-3</v>
      </c>
      <c r="E101" s="101" t="s">
        <v>612</v>
      </c>
      <c r="F101" s="101"/>
      <c r="G101" s="102"/>
      <c r="H101" s="101"/>
      <c r="I101" s="145"/>
      <c r="J101" s="101"/>
      <c r="K101" s="99"/>
      <c r="L101" s="100">
        <f t="shared" si="10"/>
        <v>0.1166666666666667</v>
      </c>
      <c r="M101" s="99">
        <f>D101*(1+$C$23)</f>
        <v>9.9741100323624595E-3</v>
      </c>
      <c r="O101" s="146" t="s">
        <v>700</v>
      </c>
      <c r="P101" s="145" t="s">
        <v>701</v>
      </c>
      <c r="Q101" s="145"/>
      <c r="R101" s="101">
        <v>0.3175</v>
      </c>
      <c r="T101" s="146" t="s">
        <v>700</v>
      </c>
      <c r="U101" s="145" t="s">
        <v>699</v>
      </c>
      <c r="V101" s="101"/>
      <c r="W101" s="101"/>
      <c r="X101" s="101"/>
      <c r="Y101" s="288"/>
      <c r="Z101" s="101"/>
      <c r="AA101" s="288"/>
      <c r="AB101" s="101"/>
      <c r="AC101" s="288"/>
    </row>
    <row r="102" spans="2:29" ht="16.5" outlineLevel="1" thickBot="1" x14ac:dyDescent="0.4">
      <c r="B102" s="106" t="str">
        <f t="shared" si="8"/>
        <v>Tabbing</v>
      </c>
      <c r="C102" s="105">
        <f t="shared" si="9"/>
        <v>3.8834951456310676E-2</v>
      </c>
      <c r="D102" s="99">
        <f>C102*$D106</f>
        <v>8.9320388349514567E-3</v>
      </c>
      <c r="E102" s="101" t="s">
        <v>612</v>
      </c>
      <c r="F102" s="101"/>
      <c r="G102" s="102"/>
      <c r="H102" s="101"/>
      <c r="I102" s="145"/>
      <c r="J102" s="101"/>
      <c r="K102" s="99"/>
      <c r="L102" s="100">
        <f t="shared" si="10"/>
        <v>0.1166666666666667</v>
      </c>
      <c r="M102" s="99">
        <f>D102*(1+$C$23)</f>
        <v>9.9741100323624595E-3</v>
      </c>
      <c r="O102" s="146" t="s">
        <v>697</v>
      </c>
      <c r="P102" s="145" t="s">
        <v>694</v>
      </c>
      <c r="Q102" s="145"/>
      <c r="R102" s="145">
        <f>R101/R100-1</f>
        <v>0.17592592592592582</v>
      </c>
      <c r="T102" s="146" t="s">
        <v>697</v>
      </c>
      <c r="U102" s="145" t="s">
        <v>694</v>
      </c>
      <c r="V102" s="145" t="e">
        <f>V101/V100-1</f>
        <v>#VALUE!</v>
      </c>
      <c r="W102" s="101"/>
      <c r="X102" s="145"/>
      <c r="Y102" s="288"/>
      <c r="Z102" s="145" t="e">
        <f>Z101/Z100-1</f>
        <v>#DIV/0!</v>
      </c>
      <c r="AA102" s="288"/>
      <c r="AB102" s="145" t="e">
        <f>AB101/AB100-1</f>
        <v>#DIV/0!</v>
      </c>
      <c r="AC102" s="288"/>
    </row>
    <row r="103" spans="2:29" ht="16.5" outlineLevel="1" thickBot="1" x14ac:dyDescent="0.4">
      <c r="B103" s="106" t="str">
        <f t="shared" si="8"/>
        <v>Junction box</v>
      </c>
      <c r="C103" s="105">
        <f t="shared" si="9"/>
        <v>3.8834951456310676E-2</v>
      </c>
      <c r="D103" s="99">
        <f>C103*$D106</f>
        <v>8.9320388349514567E-3</v>
      </c>
      <c r="E103" s="101" t="s">
        <v>613</v>
      </c>
      <c r="F103" s="101" t="s">
        <v>613</v>
      </c>
      <c r="G103" s="102">
        <v>1</v>
      </c>
      <c r="H103" s="101" t="str">
        <f>'[16]From SAM'!B31</f>
        <v>Electrical machinery</v>
      </c>
      <c r="I103" s="145">
        <f>IF(D103=0,"",VLOOKUP(H103,'[16]From SAM'!$B$2:$C$52,2,))</f>
        <v>0.13001734713264965</v>
      </c>
      <c r="J103" s="101" t="s">
        <v>712</v>
      </c>
      <c r="K103" s="99">
        <f>IF(J103="E",$E$33,IF(J103="C",$E$28,""))</f>
        <v>2.4354066985645932</v>
      </c>
      <c r="L103" s="100">
        <f t="shared" si="10"/>
        <v>0.18662777100380334</v>
      </c>
      <c r="M103" s="99">
        <f>IF(D103=0,"",(I103*D103*K103*G103)+(D103-D103*I103*G103))</f>
        <v>1.0599005333237856E-2</v>
      </c>
      <c r="O103" s="146" t="s">
        <v>695</v>
      </c>
      <c r="P103" s="145" t="s">
        <v>694</v>
      </c>
      <c r="Q103" s="145"/>
      <c r="R103" s="101">
        <v>17</v>
      </c>
      <c r="T103" s="146" t="s">
        <v>695</v>
      </c>
      <c r="U103" s="145" t="s">
        <v>694</v>
      </c>
      <c r="V103" s="101"/>
      <c r="W103" s="101"/>
      <c r="X103" s="101"/>
      <c r="Y103" s="288"/>
      <c r="Z103" s="101"/>
      <c r="AA103" s="288"/>
      <c r="AB103" s="101"/>
      <c r="AC103" s="288"/>
    </row>
    <row r="104" spans="2:29" ht="16.5" outlineLevel="1" thickBot="1" x14ac:dyDescent="0.4">
      <c r="B104" s="106" t="str">
        <f t="shared" si="8"/>
        <v xml:space="preserve">Non material costs </v>
      </c>
      <c r="C104" s="105">
        <f t="shared" si="9"/>
        <v>0.17475728155339806</v>
      </c>
      <c r="D104" s="99">
        <f>C104*$D106</f>
        <v>4.0194174757281556E-2</v>
      </c>
      <c r="E104" s="101" t="s">
        <v>613</v>
      </c>
      <c r="F104" s="101" t="s">
        <v>613</v>
      </c>
      <c r="G104" s="102">
        <v>1</v>
      </c>
      <c r="H104" s="101" t="str">
        <f>'[16]From SAM'!B2</f>
        <v xml:space="preserve">Labour </v>
      </c>
      <c r="I104" s="145">
        <f>IF(D104=0,"",VLOOKUP(H104,'[16]From SAM'!$B$2:$C$52,2,))</f>
        <v>1</v>
      </c>
      <c r="J104" s="101" t="s">
        <v>712</v>
      </c>
      <c r="K104" s="99">
        <f>IF(J104="E",$E$33,IF(J104="C",$E$28,""))</f>
        <v>2.4354066985645932</v>
      </c>
      <c r="L104" s="100">
        <f t="shared" si="10"/>
        <v>1.4354066985645932</v>
      </c>
      <c r="M104" s="99">
        <f>IF(D104=0,"",(I104*D104*K104*G104)+(D104-D104*I104*G104))</f>
        <v>9.7889162447159381E-2</v>
      </c>
    </row>
    <row r="105" spans="2:29" ht="16.5" outlineLevel="1" thickBot="1" x14ac:dyDescent="0.4">
      <c r="B105" s="106"/>
      <c r="C105" s="105"/>
      <c r="D105" s="99">
        <f>C105*$D106</f>
        <v>0</v>
      </c>
      <c r="E105" s="101"/>
      <c r="F105" s="101"/>
      <c r="G105" s="102"/>
      <c r="H105" s="101"/>
      <c r="I105" s="145"/>
      <c r="J105" s="101"/>
      <c r="K105" s="99"/>
      <c r="L105" s="100" t="str">
        <f t="shared" si="10"/>
        <v/>
      </c>
      <c r="M105" s="99" t="str">
        <f>IF(D105=0,"",(I105*D105*K105*G105)+(D105-D105*I105*G105))</f>
        <v/>
      </c>
      <c r="O105" s="159" t="s">
        <v>691</v>
      </c>
      <c r="P105" s="158" t="str">
        <f>P100</f>
        <v>US$</v>
      </c>
      <c r="Q105" s="158"/>
      <c r="R105" s="158">
        <f>R100</f>
        <v>0.27</v>
      </c>
    </row>
    <row r="106" spans="2:29" s="91" customFormat="1" ht="16.5" outlineLevel="1" thickBot="1" x14ac:dyDescent="0.4">
      <c r="B106" s="157" t="s">
        <v>690</v>
      </c>
      <c r="C106" s="156">
        <f>SUM(C97:C105)</f>
        <v>0.99999999999999989</v>
      </c>
      <c r="D106" s="151">
        <f>R107</f>
        <v>0.23</v>
      </c>
      <c r="E106" s="101"/>
      <c r="F106" s="101"/>
      <c r="G106" s="154"/>
      <c r="H106" s="153"/>
      <c r="I106" s="145"/>
      <c r="J106" s="153"/>
      <c r="K106" s="153"/>
      <c r="L106" s="152">
        <f>M106/D106-1</f>
        <v>0.68277730354269561</v>
      </c>
      <c r="M106" s="151">
        <f>SUM(M97:M105)</f>
        <v>0.38703877981481999</v>
      </c>
      <c r="O106" s="146" t="s">
        <v>689</v>
      </c>
      <c r="P106" s="145" t="str">
        <f>P105</f>
        <v>US$</v>
      </c>
      <c r="Q106" s="145"/>
      <c r="R106" s="145">
        <f>X100</f>
        <v>0.23</v>
      </c>
      <c r="T106" s="77"/>
      <c r="U106" s="77"/>
      <c r="V106" s="77"/>
      <c r="W106" s="77"/>
    </row>
    <row r="107" spans="2:29" ht="16.5" outlineLevel="1" thickBot="1" x14ac:dyDescent="0.4">
      <c r="B107" s="146"/>
      <c r="C107" s="148"/>
      <c r="D107" s="147"/>
      <c r="E107" s="147"/>
      <c r="F107" s="147"/>
      <c r="G107" s="147"/>
      <c r="H107" s="147"/>
      <c r="I107" s="147"/>
      <c r="J107" s="147"/>
      <c r="K107" s="147"/>
      <c r="L107" s="145"/>
      <c r="M107" s="145"/>
      <c r="O107" s="146" t="s">
        <v>995</v>
      </c>
      <c r="P107" s="145" t="str">
        <f>P106</f>
        <v>US$</v>
      </c>
      <c r="Q107" s="145"/>
      <c r="R107" s="279">
        <f>R106</f>
        <v>0.23</v>
      </c>
      <c r="S107" s="143"/>
    </row>
    <row r="108" spans="2:29" outlineLevel="1" x14ac:dyDescent="0.35"/>
    <row r="110" spans="2:29" s="167" customFormat="1" x14ac:dyDescent="0.35">
      <c r="B110" s="167" t="s">
        <v>733</v>
      </c>
      <c r="C110" s="168" t="s">
        <v>1024</v>
      </c>
      <c r="D110" s="169" t="s">
        <v>732</v>
      </c>
      <c r="E110" s="170" t="s">
        <v>964</v>
      </c>
      <c r="F110" s="169"/>
      <c r="G110" s="169"/>
      <c r="H110" s="169" t="s">
        <v>1023</v>
      </c>
      <c r="I110" s="169"/>
      <c r="J110" s="169"/>
      <c r="K110" s="169"/>
      <c r="L110" s="169"/>
      <c r="N110" s="169" t="s">
        <v>731</v>
      </c>
      <c r="O110" s="168" t="s">
        <v>1022</v>
      </c>
    </row>
    <row r="111" spans="2:29" ht="16.5" thickBot="1" x14ac:dyDescent="0.4"/>
    <row r="112" spans="2:29" s="166" customFormat="1" ht="48" outlineLevel="1" thickBot="1" x14ac:dyDescent="0.25">
      <c r="B112" s="109" t="s">
        <v>639</v>
      </c>
      <c r="C112" s="110" t="s">
        <v>638</v>
      </c>
      <c r="D112" s="109" t="s">
        <v>637</v>
      </c>
      <c r="E112" s="109" t="s">
        <v>1021</v>
      </c>
      <c r="F112" s="109" t="s">
        <v>1020</v>
      </c>
      <c r="G112" s="109" t="s">
        <v>635</v>
      </c>
      <c r="H112" s="109" t="s">
        <v>634</v>
      </c>
      <c r="I112" s="109" t="s">
        <v>632</v>
      </c>
      <c r="J112" s="109" t="s">
        <v>631</v>
      </c>
      <c r="K112" s="109" t="s">
        <v>630</v>
      </c>
      <c r="L112" s="109" t="s">
        <v>629</v>
      </c>
      <c r="M112" s="109" t="s">
        <v>628</v>
      </c>
      <c r="O112" s="109" t="s">
        <v>730</v>
      </c>
      <c r="P112" s="109" t="s">
        <v>728</v>
      </c>
      <c r="Q112" s="109" t="s">
        <v>916</v>
      </c>
      <c r="R112" s="109" t="s">
        <v>727</v>
      </c>
      <c r="T112" s="109" t="s">
        <v>729</v>
      </c>
      <c r="U112" s="109" t="s">
        <v>728</v>
      </c>
      <c r="V112" s="467" t="s">
        <v>963</v>
      </c>
      <c r="W112" s="469"/>
      <c r="X112" s="467" t="s">
        <v>963</v>
      </c>
      <c r="Y112" s="469"/>
      <c r="Z112" s="467" t="s">
        <v>963</v>
      </c>
      <c r="AA112" s="469"/>
      <c r="AB112" s="467" t="s">
        <v>963</v>
      </c>
      <c r="AC112" s="469"/>
    </row>
    <row r="113" spans="2:29" ht="63.75" outlineLevel="1" thickBot="1" x14ac:dyDescent="0.4">
      <c r="B113" s="106" t="str">
        <f t="shared" ref="B113:C120" si="11">B97</f>
        <v>Silicon cell</v>
      </c>
      <c r="C113" s="106">
        <f t="shared" si="11"/>
        <v>0.53398058252427183</v>
      </c>
      <c r="D113" s="99">
        <f>C113*$D122</f>
        <v>0.12281553398058252</v>
      </c>
      <c r="E113" s="101" t="s">
        <v>612</v>
      </c>
      <c r="F113" s="101" t="s">
        <v>613</v>
      </c>
      <c r="G113" s="102"/>
      <c r="H113" s="101"/>
      <c r="I113" s="145"/>
      <c r="J113" s="101"/>
      <c r="K113" s="99"/>
      <c r="L113" s="100">
        <f t="shared" ref="L113:L121" si="12">IF(M113="","",M113/D113-1)</f>
        <v>0.31837285902503276</v>
      </c>
      <c r="M113" s="99">
        <f>D91*(1+C23)</f>
        <v>0.16191666666666665</v>
      </c>
      <c r="O113" s="146" t="s">
        <v>724</v>
      </c>
      <c r="P113" s="145" t="s">
        <v>701</v>
      </c>
      <c r="Q113" s="145"/>
      <c r="R113" s="180">
        <v>10000000</v>
      </c>
      <c r="T113" s="146" t="s">
        <v>724</v>
      </c>
      <c r="U113" s="145" t="s">
        <v>701</v>
      </c>
      <c r="V113" s="180">
        <v>25000000</v>
      </c>
      <c r="W113" s="101" t="s">
        <v>1014</v>
      </c>
      <c r="X113" s="180" t="s">
        <v>1019</v>
      </c>
      <c r="Y113" s="288" t="s">
        <v>952</v>
      </c>
      <c r="Z113" s="180">
        <v>80000000</v>
      </c>
      <c r="AA113" s="288" t="s">
        <v>1018</v>
      </c>
      <c r="AB113" s="180">
        <v>30000000</v>
      </c>
      <c r="AC113" s="312" t="s">
        <v>1017</v>
      </c>
    </row>
    <row r="114" spans="2:29" ht="16.5" outlineLevel="1" thickBot="1" x14ac:dyDescent="0.4">
      <c r="B114" s="106" t="str">
        <f t="shared" si="11"/>
        <v>Glass</v>
      </c>
      <c r="C114" s="106">
        <f t="shared" si="11"/>
        <v>6.7961165048543687E-2</v>
      </c>
      <c r="D114" s="99">
        <f>C114*$D122</f>
        <v>1.5631067961165049E-2</v>
      </c>
      <c r="E114" s="101" t="s">
        <v>613</v>
      </c>
      <c r="F114" s="101" t="s">
        <v>613</v>
      </c>
      <c r="G114" s="102">
        <v>1</v>
      </c>
      <c r="H114" s="101" t="s">
        <v>602</v>
      </c>
      <c r="I114" s="145">
        <f>IF(D114=0,"",VLOOKUP(H114,'[16]From SAM'!$B$2:$C$52,2,))</f>
        <v>0.13001734713264965</v>
      </c>
      <c r="J114" s="101" t="s">
        <v>712</v>
      </c>
      <c r="K114" s="99">
        <f>IF(J114="E",$E$33,IF(J114="C",$E$28,""))</f>
        <v>2.4354066985645932</v>
      </c>
      <c r="L114" s="100">
        <f t="shared" si="12"/>
        <v>0.18662777100380334</v>
      </c>
      <c r="M114" s="99">
        <f>IF(D114=0,"",(I114*D114*K114*G114)+(D114-D114*I114*G114))</f>
        <v>1.8548259333166246E-2</v>
      </c>
      <c r="O114" s="146" t="s">
        <v>718</v>
      </c>
      <c r="P114" s="145" t="s">
        <v>719</v>
      </c>
      <c r="Q114" s="145"/>
      <c r="R114" s="180">
        <v>210000</v>
      </c>
      <c r="S114" s="77">
        <f>R113/R114</f>
        <v>47.61904761904762</v>
      </c>
      <c r="T114" s="146" t="s">
        <v>718</v>
      </c>
      <c r="U114" s="145" t="s">
        <v>181</v>
      </c>
      <c r="V114" s="180">
        <v>1000</v>
      </c>
      <c r="W114" s="101">
        <f>V113/(V114*1000)</f>
        <v>25</v>
      </c>
      <c r="X114" s="184">
        <f>200000000*0.064</f>
        <v>12800000</v>
      </c>
      <c r="Y114" s="288"/>
      <c r="Z114" s="184">
        <v>500</v>
      </c>
      <c r="AA114" s="288">
        <f>Z113/Z114/1000</f>
        <v>160</v>
      </c>
      <c r="AB114" s="184">
        <v>1000</v>
      </c>
      <c r="AC114" s="288">
        <f>AB113/AB114/1000</f>
        <v>30</v>
      </c>
    </row>
    <row r="115" spans="2:29" ht="16.5" outlineLevel="1" thickBot="1" x14ac:dyDescent="0.4">
      <c r="B115" s="106" t="str">
        <f t="shared" si="11"/>
        <v>Al frame</v>
      </c>
      <c r="C115" s="106">
        <f t="shared" si="11"/>
        <v>5.8252427184466021E-2</v>
      </c>
      <c r="D115" s="99">
        <f>C115*$D122</f>
        <v>1.3398058252427186E-2</v>
      </c>
      <c r="E115" s="101" t="s">
        <v>613</v>
      </c>
      <c r="F115" s="101" t="s">
        <v>613</v>
      </c>
      <c r="G115" s="102">
        <v>0.65</v>
      </c>
      <c r="H115" s="101" t="s">
        <v>879</v>
      </c>
      <c r="I115" s="145">
        <f>IF(D115=0,"",VLOOKUP(H115,'[16]From SAM'!$B$2:$C$52,2,))</f>
        <v>0.23534870376544167</v>
      </c>
      <c r="J115" s="101" t="s">
        <v>712</v>
      </c>
      <c r="K115" s="99">
        <f>IF(J115="E",$E$33,IF(J115="C",$E$28,""))</f>
        <v>2.4354066985645932</v>
      </c>
      <c r="L115" s="100">
        <f t="shared" si="12"/>
        <v>0.21958371882421579</v>
      </c>
      <c r="M115" s="99">
        <f>IF(D115=0,"",(I115*D115*K115*G115)+(D115-D115*I115*G115))</f>
        <v>1.6340053708518622E-2</v>
      </c>
      <c r="O115" s="146" t="s">
        <v>711</v>
      </c>
      <c r="P115" s="145" t="s">
        <v>710</v>
      </c>
      <c r="Q115" s="145"/>
      <c r="R115" s="101">
        <v>160</v>
      </c>
      <c r="T115" s="146" t="s">
        <v>711</v>
      </c>
      <c r="U115" s="145" t="s">
        <v>710</v>
      </c>
      <c r="V115" s="101"/>
      <c r="W115" s="101"/>
      <c r="X115" s="101"/>
      <c r="Y115" s="288"/>
      <c r="Z115" s="101">
        <v>508</v>
      </c>
      <c r="AA115" s="288"/>
      <c r="AB115" s="101"/>
      <c r="AC115" s="288"/>
    </row>
    <row r="116" spans="2:29" ht="16.5" outlineLevel="1" thickBot="1" x14ac:dyDescent="0.4">
      <c r="B116" s="106" t="str">
        <f t="shared" si="11"/>
        <v>EVA</v>
      </c>
      <c r="C116" s="106">
        <f t="shared" si="11"/>
        <v>4.8543689320388349E-2</v>
      </c>
      <c r="D116" s="99">
        <f>C116*$D122</f>
        <v>1.1165048543689321E-2</v>
      </c>
      <c r="E116" s="101" t="s">
        <v>612</v>
      </c>
      <c r="F116" s="101"/>
      <c r="G116" s="102"/>
      <c r="H116" s="101"/>
      <c r="I116" s="145"/>
      <c r="J116" s="101"/>
      <c r="K116" s="99"/>
      <c r="L116" s="100">
        <f t="shared" si="12"/>
        <v>0.1166666666666667</v>
      </c>
      <c r="M116" s="99">
        <f>D116*(1+$C$23)</f>
        <v>1.2467637540453077E-2</v>
      </c>
      <c r="O116" s="146" t="s">
        <v>707</v>
      </c>
      <c r="P116" s="145" t="s">
        <v>701</v>
      </c>
      <c r="Q116" s="145" t="s">
        <v>1016</v>
      </c>
      <c r="R116" s="101">
        <v>0.27</v>
      </c>
      <c r="T116" s="146" t="s">
        <v>707</v>
      </c>
      <c r="U116" s="145" t="s">
        <v>701</v>
      </c>
      <c r="V116" s="101" t="s">
        <v>1015</v>
      </c>
      <c r="W116" s="101" t="s">
        <v>1014</v>
      </c>
      <c r="X116" s="311">
        <v>0.23</v>
      </c>
      <c r="Y116" s="309" t="s">
        <v>1013</v>
      </c>
      <c r="Z116" s="101"/>
      <c r="AA116" s="288"/>
      <c r="AB116" s="101"/>
      <c r="AC116" s="288"/>
    </row>
    <row r="117" spans="2:29" ht="16.5" outlineLevel="1" thickBot="1" x14ac:dyDescent="0.4">
      <c r="B117" s="106" t="str">
        <f t="shared" si="11"/>
        <v>Backsheets</v>
      </c>
      <c r="C117" s="106">
        <f t="shared" si="11"/>
        <v>3.8834951456310676E-2</v>
      </c>
      <c r="D117" s="99">
        <f>C117*$D122</f>
        <v>8.9320388349514567E-3</v>
      </c>
      <c r="E117" s="101" t="s">
        <v>612</v>
      </c>
      <c r="F117" s="101"/>
      <c r="G117" s="102"/>
      <c r="H117" s="101"/>
      <c r="I117" s="145"/>
      <c r="J117" s="101"/>
      <c r="K117" s="99"/>
      <c r="L117" s="100">
        <f t="shared" si="12"/>
        <v>0.1166666666666667</v>
      </c>
      <c r="M117" s="99">
        <f>D117*(1+$C$23)</f>
        <v>9.9741100323624595E-3</v>
      </c>
      <c r="O117" s="146" t="s">
        <v>700</v>
      </c>
      <c r="P117" s="145" t="s">
        <v>701</v>
      </c>
      <c r="Q117" s="145"/>
      <c r="R117" s="101">
        <v>0.3175</v>
      </c>
      <c r="T117" s="146" t="s">
        <v>700</v>
      </c>
      <c r="U117" s="145" t="s">
        <v>699</v>
      </c>
      <c r="V117" s="101"/>
      <c r="W117" s="101"/>
      <c r="X117" s="101"/>
      <c r="Y117" s="288"/>
      <c r="Z117" s="101"/>
      <c r="AA117" s="288"/>
      <c r="AB117" s="101"/>
      <c r="AC117" s="288"/>
    </row>
    <row r="118" spans="2:29" ht="16.5" outlineLevel="1" thickBot="1" x14ac:dyDescent="0.4">
      <c r="B118" s="106" t="str">
        <f t="shared" si="11"/>
        <v>Tabbing</v>
      </c>
      <c r="C118" s="106">
        <f t="shared" si="11"/>
        <v>3.8834951456310676E-2</v>
      </c>
      <c r="D118" s="99">
        <f>C118*$D122</f>
        <v>8.9320388349514567E-3</v>
      </c>
      <c r="E118" s="101" t="s">
        <v>612</v>
      </c>
      <c r="F118" s="101"/>
      <c r="G118" s="102"/>
      <c r="H118" s="101"/>
      <c r="I118" s="145"/>
      <c r="J118" s="101"/>
      <c r="K118" s="99"/>
      <c r="L118" s="100">
        <f t="shared" si="12"/>
        <v>0.1166666666666667</v>
      </c>
      <c r="M118" s="99">
        <f>D118*(1+$C$23)</f>
        <v>9.9741100323624595E-3</v>
      </c>
      <c r="O118" s="146" t="s">
        <v>697</v>
      </c>
      <c r="P118" s="145" t="s">
        <v>694</v>
      </c>
      <c r="Q118" s="145"/>
      <c r="R118" s="145">
        <f>R117/R116-1</f>
        <v>0.17592592592592582</v>
      </c>
      <c r="T118" s="146" t="s">
        <v>697</v>
      </c>
      <c r="U118" s="145" t="s">
        <v>694</v>
      </c>
      <c r="V118" s="145" t="e">
        <f>V117/V116-1</f>
        <v>#VALUE!</v>
      </c>
      <c r="W118" s="101"/>
      <c r="X118" s="145"/>
      <c r="Y118" s="288"/>
      <c r="Z118" s="145" t="e">
        <f>Z117/Z116-1</f>
        <v>#DIV/0!</v>
      </c>
      <c r="AA118" s="288"/>
      <c r="AB118" s="145" t="e">
        <f>AB117/AB116-1</f>
        <v>#DIV/0!</v>
      </c>
      <c r="AC118" s="288"/>
    </row>
    <row r="119" spans="2:29" ht="16.5" outlineLevel="1" thickBot="1" x14ac:dyDescent="0.4">
      <c r="B119" s="106" t="str">
        <f t="shared" si="11"/>
        <v>Junction box</v>
      </c>
      <c r="C119" s="106">
        <f t="shared" si="11"/>
        <v>3.8834951456310676E-2</v>
      </c>
      <c r="D119" s="99">
        <f>C119*$D122</f>
        <v>8.9320388349514567E-3</v>
      </c>
      <c r="E119" s="101" t="s">
        <v>613</v>
      </c>
      <c r="F119" s="101" t="s">
        <v>613</v>
      </c>
      <c r="G119" s="102">
        <v>1</v>
      </c>
      <c r="H119" s="101" t="str">
        <f>'[16]From SAM'!B46</f>
        <v>Renting of machinery</v>
      </c>
      <c r="I119" s="145">
        <f>IF(D119=0,"",VLOOKUP(H119,'[16]From SAM'!$B$2:$C$52,2,))</f>
        <v>0.12138980230577215</v>
      </c>
      <c r="J119" s="101" t="s">
        <v>712</v>
      </c>
      <c r="K119" s="99">
        <f>IF(J119="E",$E$33,IF(J119="C",$E$28,""))</f>
        <v>2.4354066985645932</v>
      </c>
      <c r="L119" s="100">
        <f t="shared" si="12"/>
        <v>0.17424373536713711</v>
      </c>
      <c r="M119" s="99">
        <f>IF(D119=0,"",(I119*D119*K119*G119)+(D119-D119*I119*G119))</f>
        <v>1.0488390645997729E-2</v>
      </c>
      <c r="O119" s="146" t="s">
        <v>695</v>
      </c>
      <c r="P119" s="145" t="s">
        <v>694</v>
      </c>
      <c r="Q119" s="145"/>
      <c r="R119" s="101">
        <v>17</v>
      </c>
      <c r="T119" s="146" t="s">
        <v>695</v>
      </c>
      <c r="U119" s="145" t="s">
        <v>694</v>
      </c>
      <c r="V119" s="101"/>
      <c r="W119" s="101"/>
      <c r="X119" s="101"/>
      <c r="Y119" s="288"/>
      <c r="Z119" s="101"/>
      <c r="AA119" s="288"/>
      <c r="AB119" s="101"/>
      <c r="AC119" s="288"/>
    </row>
    <row r="120" spans="2:29" ht="16.5" outlineLevel="1" thickBot="1" x14ac:dyDescent="0.4">
      <c r="B120" s="106" t="str">
        <f t="shared" si="11"/>
        <v xml:space="preserve">Non material costs </v>
      </c>
      <c r="C120" s="106">
        <f t="shared" si="11"/>
        <v>0.17475728155339806</v>
      </c>
      <c r="D120" s="99">
        <f>C120*$D122</f>
        <v>4.0194174757281556E-2</v>
      </c>
      <c r="E120" s="101" t="s">
        <v>613</v>
      </c>
      <c r="F120" s="101" t="s">
        <v>613</v>
      </c>
      <c r="G120" s="102">
        <v>1</v>
      </c>
      <c r="H120" s="101" t="str">
        <f>'[16]From SAM'!B17</f>
        <v>Publishing</v>
      </c>
      <c r="I120" s="145">
        <f>IF(D120=0,"",VLOOKUP(H120,'[16]From SAM'!$B$2:$C$52,2,))</f>
        <v>0.30557059589154911</v>
      </c>
      <c r="J120" s="101" t="s">
        <v>712</v>
      </c>
      <c r="K120" s="99">
        <f>IF(J120="E",$E$33,IF(J120="C",$E$28,""))</f>
        <v>2.4354066985645932</v>
      </c>
      <c r="L120" s="100">
        <f t="shared" si="12"/>
        <v>0.43861808022710402</v>
      </c>
      <c r="M120" s="99">
        <f>IF(D120=0,"",(I120*D120*K120*G120)+(D120-D120*I120*G120))</f>
        <v>5.7824066525633114E-2</v>
      </c>
    </row>
    <row r="121" spans="2:29" ht="16.5" outlineLevel="1" thickBot="1" x14ac:dyDescent="0.4">
      <c r="B121" s="106"/>
      <c r="C121" s="105"/>
      <c r="D121" s="99">
        <f>C121*$D122</f>
        <v>0</v>
      </c>
      <c r="E121" s="101"/>
      <c r="F121" s="101"/>
      <c r="G121" s="102"/>
      <c r="H121" s="101"/>
      <c r="I121" s="145"/>
      <c r="J121" s="101"/>
      <c r="K121" s="99"/>
      <c r="L121" s="100" t="str">
        <f t="shared" si="12"/>
        <v/>
      </c>
      <c r="M121" s="99" t="str">
        <f>IF(D121=0,"",(I121*D121*K121*G121)+(D121-D121*I121*G121))</f>
        <v/>
      </c>
      <c r="O121" s="159" t="s">
        <v>691</v>
      </c>
      <c r="P121" s="158" t="str">
        <f>P116</f>
        <v>US$</v>
      </c>
      <c r="Q121" s="158"/>
      <c r="R121" s="158">
        <f>R116</f>
        <v>0.27</v>
      </c>
    </row>
    <row r="122" spans="2:29" s="91" customFormat="1" ht="16.5" outlineLevel="1" thickBot="1" x14ac:dyDescent="0.4">
      <c r="B122" s="157" t="s">
        <v>690</v>
      </c>
      <c r="C122" s="156">
        <f>SUM(C113:C121)</f>
        <v>0.99999999999999989</v>
      </c>
      <c r="D122" s="151">
        <f>R123</f>
        <v>0.23</v>
      </c>
      <c r="E122" s="101"/>
      <c r="F122" s="101"/>
      <c r="G122" s="154"/>
      <c r="H122" s="153"/>
      <c r="I122" s="145"/>
      <c r="J122" s="153"/>
      <c r="K122" s="153"/>
      <c r="L122" s="152">
        <f>M122/D122-1</f>
        <v>0.29362301950069725</v>
      </c>
      <c r="M122" s="151">
        <f>SUM(M113:M121)</f>
        <v>0.29753329448516036</v>
      </c>
      <c r="O122" s="146" t="s">
        <v>689</v>
      </c>
      <c r="P122" s="145" t="str">
        <f>P121</f>
        <v>US$</v>
      </c>
      <c r="Q122" s="145"/>
      <c r="R122" s="145">
        <f>X116</f>
        <v>0.23</v>
      </c>
      <c r="T122" s="77"/>
      <c r="U122" s="77"/>
      <c r="V122" s="77"/>
      <c r="W122" s="77"/>
    </row>
    <row r="123" spans="2:29" ht="16.5" outlineLevel="1" thickBot="1" x14ac:dyDescent="0.4">
      <c r="B123" s="146"/>
      <c r="C123" s="148"/>
      <c r="D123" s="147"/>
      <c r="E123" s="147"/>
      <c r="F123" s="147"/>
      <c r="G123" s="147"/>
      <c r="H123" s="147"/>
      <c r="I123" s="147"/>
      <c r="J123" s="147"/>
      <c r="K123" s="147"/>
      <c r="L123" s="145"/>
      <c r="M123" s="145"/>
      <c r="O123" s="146" t="s">
        <v>995</v>
      </c>
      <c r="P123" s="145" t="str">
        <f>P122</f>
        <v>US$</v>
      </c>
      <c r="Q123" s="145"/>
      <c r="R123" s="279">
        <f>R122</f>
        <v>0.23</v>
      </c>
      <c r="S123" s="143"/>
    </row>
    <row r="124" spans="2:29" s="167" customFormat="1" x14ac:dyDescent="0.35">
      <c r="B124" s="167" t="s">
        <v>733</v>
      </c>
      <c r="C124" s="168" t="s">
        <v>1012</v>
      </c>
      <c r="D124" s="169" t="s">
        <v>732</v>
      </c>
      <c r="E124" s="170" t="s">
        <v>964</v>
      </c>
      <c r="F124" s="169"/>
      <c r="G124" s="169"/>
      <c r="H124" s="169" t="s">
        <v>1011</v>
      </c>
      <c r="I124" s="169"/>
      <c r="J124" s="169"/>
      <c r="K124" s="169"/>
      <c r="L124" s="169"/>
      <c r="N124" s="169" t="s">
        <v>731</v>
      </c>
      <c r="O124" s="168" t="s">
        <v>787</v>
      </c>
    </row>
    <row r="125" spans="2:29" ht="16.5" outlineLevel="1" thickBot="1" x14ac:dyDescent="0.4">
      <c r="B125" s="149" t="s">
        <v>1010</v>
      </c>
      <c r="P125" s="149" t="s">
        <v>1009</v>
      </c>
      <c r="Q125" s="149"/>
      <c r="V125" s="149" t="s">
        <v>1008</v>
      </c>
    </row>
    <row r="126" spans="2:29" s="166" customFormat="1" ht="48" outlineLevel="1" thickBot="1" x14ac:dyDescent="0.25">
      <c r="B126" s="109" t="s">
        <v>639</v>
      </c>
      <c r="C126" s="110" t="s">
        <v>638</v>
      </c>
      <c r="D126" s="109" t="s">
        <v>637</v>
      </c>
      <c r="E126" s="109" t="s">
        <v>636</v>
      </c>
      <c r="F126" s="109"/>
      <c r="G126" s="109" t="s">
        <v>635</v>
      </c>
      <c r="H126" s="109" t="s">
        <v>634</v>
      </c>
      <c r="I126" s="109" t="s">
        <v>632</v>
      </c>
      <c r="J126" s="109" t="s">
        <v>631</v>
      </c>
      <c r="K126" s="109" t="s">
        <v>630</v>
      </c>
      <c r="L126" s="109" t="s">
        <v>629</v>
      </c>
      <c r="M126" s="109" t="s">
        <v>628</v>
      </c>
      <c r="O126" s="109" t="s">
        <v>730</v>
      </c>
      <c r="P126" s="109" t="s">
        <v>728</v>
      </c>
      <c r="Q126" s="109" t="s">
        <v>916</v>
      </c>
      <c r="R126" s="109" t="s">
        <v>727</v>
      </c>
      <c r="T126" s="109" t="s">
        <v>729</v>
      </c>
      <c r="U126" s="109" t="s">
        <v>728</v>
      </c>
      <c r="V126" s="109" t="s">
        <v>727</v>
      </c>
      <c r="W126" s="109" t="s">
        <v>457</v>
      </c>
      <c r="X126" s="467" t="s">
        <v>963</v>
      </c>
      <c r="Y126" s="469"/>
      <c r="Z126" s="467" t="s">
        <v>963</v>
      </c>
      <c r="AA126" s="469"/>
    </row>
    <row r="127" spans="2:29" ht="16.5" outlineLevel="1" thickBot="1" x14ac:dyDescent="0.4">
      <c r="B127" s="106" t="s">
        <v>1007</v>
      </c>
      <c r="C127" s="105">
        <v>1</v>
      </c>
      <c r="D127" s="99">
        <f>C127*$D136</f>
        <v>0.14256296530967844</v>
      </c>
      <c r="E127" s="101" t="s">
        <v>613</v>
      </c>
      <c r="F127" s="101" t="s">
        <v>613</v>
      </c>
      <c r="G127" s="102">
        <v>1</v>
      </c>
      <c r="H127" s="101" t="str">
        <f>'[16]From SAM'!B29</f>
        <v xml:space="preserve">Structural metal </v>
      </c>
      <c r="I127" s="145">
        <f>IF(D127=0,"",VLOOKUP(H127,'[16]From SAM'!$B$2:$C$52,2,))</f>
        <v>0.23534870376544167</v>
      </c>
      <c r="J127" s="101" t="s">
        <v>947</v>
      </c>
      <c r="K127" s="99">
        <f>IF(J127="E",$E$33,IF(J127="C",$E$28,IF(J127="US",$E$38,"")))</f>
        <v>1.928030303030303</v>
      </c>
      <c r="L127" s="100">
        <f t="shared" ref="L127:L135" si="13">IF(M127="","",M127/D127-1)</f>
        <v>0.21841072887323176</v>
      </c>
      <c r="M127" s="99">
        <f t="shared" ref="M127:M135" si="14">IF(D127=0,"",(I127*D127*K127*G127)+(D127-D127*I127*G127))</f>
        <v>0.17370024647329457</v>
      </c>
      <c r="N127" s="149" t="s">
        <v>1006</v>
      </c>
      <c r="O127" s="146" t="s">
        <v>724</v>
      </c>
      <c r="P127" s="145" t="s">
        <v>960</v>
      </c>
      <c r="Q127" s="145"/>
      <c r="R127" s="180">
        <v>150</v>
      </c>
      <c r="S127" s="149"/>
      <c r="T127" s="146" t="s">
        <v>724</v>
      </c>
      <c r="U127" s="145" t="s">
        <v>701</v>
      </c>
      <c r="V127" s="180">
        <v>1300000</v>
      </c>
      <c r="W127" s="310" t="s">
        <v>1005</v>
      </c>
      <c r="X127" s="184" t="s">
        <v>1004</v>
      </c>
      <c r="Y127" s="309" t="s">
        <v>952</v>
      </c>
      <c r="AB127" s="308">
        <f>0.02*500000000</f>
        <v>10000000</v>
      </c>
    </row>
    <row r="128" spans="2:29" ht="16.5" outlineLevel="1" thickBot="1" x14ac:dyDescent="0.4">
      <c r="B128" s="147"/>
      <c r="C128" s="104"/>
      <c r="D128" s="99">
        <f>C128*$D136</f>
        <v>0</v>
      </c>
      <c r="E128" s="101"/>
      <c r="F128" s="101"/>
      <c r="G128" s="102"/>
      <c r="H128" s="101"/>
      <c r="I128" s="145"/>
      <c r="J128" s="101"/>
      <c r="K128" s="99"/>
      <c r="L128" s="100" t="str">
        <f t="shared" si="13"/>
        <v/>
      </c>
      <c r="M128" s="99" t="str">
        <f t="shared" si="14"/>
        <v/>
      </c>
      <c r="O128" s="146" t="s">
        <v>718</v>
      </c>
      <c r="P128" s="306" t="s">
        <v>181</v>
      </c>
      <c r="Q128" s="306"/>
      <c r="R128" s="101">
        <v>150</v>
      </c>
      <c r="S128" s="92"/>
      <c r="T128" s="146" t="s">
        <v>718</v>
      </c>
      <c r="U128" s="145" t="s">
        <v>181</v>
      </c>
      <c r="V128" s="101">
        <v>500</v>
      </c>
      <c r="W128" s="101" t="s">
        <v>1002</v>
      </c>
      <c r="X128" s="184"/>
      <c r="Y128" s="288"/>
      <c r="Z128" s="184"/>
      <c r="AA128" s="288"/>
    </row>
    <row r="129" spans="2:28" ht="16.5" outlineLevel="1" thickBot="1" x14ac:dyDescent="0.4">
      <c r="B129" s="147"/>
      <c r="C129" s="104"/>
      <c r="D129" s="99">
        <f>C129*$D136</f>
        <v>0</v>
      </c>
      <c r="E129" s="101"/>
      <c r="F129" s="101"/>
      <c r="G129" s="102"/>
      <c r="H129" s="101"/>
      <c r="I129" s="145"/>
      <c r="J129" s="101"/>
      <c r="K129" s="99"/>
      <c r="L129" s="100" t="str">
        <f t="shared" si="13"/>
        <v/>
      </c>
      <c r="M129" s="99" t="str">
        <f t="shared" si="14"/>
        <v/>
      </c>
      <c r="O129" s="146" t="s">
        <v>711</v>
      </c>
      <c r="P129" s="145" t="s">
        <v>710</v>
      </c>
      <c r="Q129" s="145"/>
      <c r="R129" s="101" t="s">
        <v>1003</v>
      </c>
      <c r="T129" s="146" t="s">
        <v>711</v>
      </c>
      <c r="U129" s="145" t="s">
        <v>710</v>
      </c>
      <c r="V129" s="101">
        <v>80</v>
      </c>
      <c r="W129" s="101" t="s">
        <v>1002</v>
      </c>
      <c r="X129" s="101"/>
      <c r="Y129" s="288"/>
      <c r="Z129" s="101"/>
      <c r="AA129" s="288"/>
    </row>
    <row r="130" spans="2:28" ht="16.5" outlineLevel="1" thickBot="1" x14ac:dyDescent="0.4">
      <c r="B130" s="147"/>
      <c r="C130" s="104"/>
      <c r="D130" s="99">
        <f>C130*$D136</f>
        <v>0</v>
      </c>
      <c r="E130" s="101"/>
      <c r="F130" s="101"/>
      <c r="G130" s="102"/>
      <c r="H130" s="101"/>
      <c r="I130" s="145" t="str">
        <f>IF(D130=0,"",VLOOKUP(H130,'[16]From SAM'!$B$2:$C$52,2,))</f>
        <v/>
      </c>
      <c r="J130" s="101"/>
      <c r="K130" s="99" t="str">
        <f t="shared" ref="K130:K135" si="15">IF(J130="E",$E$33,IF(J130="C",$E$28,""))</f>
        <v/>
      </c>
      <c r="L130" s="100" t="str">
        <f t="shared" si="13"/>
        <v/>
      </c>
      <c r="M130" s="99" t="str">
        <f t="shared" si="14"/>
        <v/>
      </c>
      <c r="O130" s="146" t="s">
        <v>707</v>
      </c>
      <c r="P130" s="145" t="s">
        <v>701</v>
      </c>
      <c r="Q130" s="300" t="s">
        <v>1001</v>
      </c>
      <c r="R130" s="307">
        <f>R131/1.2</f>
        <v>7.166666666666667E-2</v>
      </c>
      <c r="S130" s="149" t="s">
        <v>919</v>
      </c>
      <c r="T130" s="146" t="s">
        <v>707</v>
      </c>
      <c r="U130" s="145" t="s">
        <v>701</v>
      </c>
      <c r="V130" s="101">
        <v>0.16</v>
      </c>
      <c r="W130" s="163" t="s">
        <v>1000</v>
      </c>
      <c r="X130" s="280">
        <f>D69</f>
        <v>0.15254237288135594</v>
      </c>
      <c r="Y130" s="288" t="s">
        <v>952</v>
      </c>
    </row>
    <row r="131" spans="2:28" ht="16.5" outlineLevel="1" thickBot="1" x14ac:dyDescent="0.4">
      <c r="B131" s="147"/>
      <c r="C131" s="104"/>
      <c r="D131" s="99">
        <f>C131*$D136</f>
        <v>0</v>
      </c>
      <c r="E131" s="101"/>
      <c r="F131" s="101"/>
      <c r="G131" s="102"/>
      <c r="H131" s="101"/>
      <c r="I131" s="145" t="str">
        <f>IF(D131=0,"",VLOOKUP(H131,'[16]From SAM'!$B$2:$C$52,2,))</f>
        <v/>
      </c>
      <c r="J131" s="101"/>
      <c r="K131" s="99" t="str">
        <f t="shared" si="15"/>
        <v/>
      </c>
      <c r="L131" s="100" t="str">
        <f t="shared" si="13"/>
        <v/>
      </c>
      <c r="M131" s="99" t="str">
        <f t="shared" si="14"/>
        <v/>
      </c>
      <c r="N131" s="149" t="s">
        <v>999</v>
      </c>
      <c r="O131" s="146" t="s">
        <v>700</v>
      </c>
      <c r="P131" s="145" t="s">
        <v>701</v>
      </c>
      <c r="Q131" s="145"/>
      <c r="R131" s="101">
        <v>8.5999999999999993E-2</v>
      </c>
      <c r="T131" s="146" t="s">
        <v>700</v>
      </c>
      <c r="U131" s="306" t="s">
        <v>701</v>
      </c>
      <c r="V131" s="77">
        <f>'[16]Sec data - solar'!R135</f>
        <v>7.2916666666666671E-2</v>
      </c>
      <c r="W131" s="288" t="s">
        <v>998</v>
      </c>
      <c r="X131" s="101"/>
      <c r="Y131" s="288"/>
      <c r="Z131" s="101"/>
      <c r="AA131" s="288"/>
    </row>
    <row r="132" spans="2:28" ht="16.5" outlineLevel="1" thickBot="1" x14ac:dyDescent="0.4">
      <c r="B132" s="147"/>
      <c r="C132" s="104"/>
      <c r="D132" s="99">
        <f>C132*$D136</f>
        <v>0</v>
      </c>
      <c r="E132" s="101"/>
      <c r="F132" s="101"/>
      <c r="G132" s="102"/>
      <c r="H132" s="101"/>
      <c r="I132" s="145" t="str">
        <f>IF(D132=0,"",VLOOKUP(H132,'[16]From SAM'!$B$2:$C$52,2,))</f>
        <v/>
      </c>
      <c r="J132" s="101"/>
      <c r="K132" s="99" t="str">
        <f t="shared" si="15"/>
        <v/>
      </c>
      <c r="L132" s="100" t="str">
        <f t="shared" si="13"/>
        <v/>
      </c>
      <c r="M132" s="99" t="str">
        <f t="shared" si="14"/>
        <v/>
      </c>
      <c r="O132" s="146" t="s">
        <v>697</v>
      </c>
      <c r="P132" s="145" t="s">
        <v>694</v>
      </c>
      <c r="Q132" s="145"/>
      <c r="R132" s="145">
        <v>20</v>
      </c>
      <c r="T132" s="146"/>
      <c r="U132" s="145"/>
      <c r="V132" s="145"/>
      <c r="W132" s="101"/>
      <c r="X132" s="145"/>
      <c r="Y132" s="288"/>
      <c r="Z132" s="145"/>
      <c r="AA132" s="288"/>
    </row>
    <row r="133" spans="2:28" ht="16.5" outlineLevel="1" thickBot="1" x14ac:dyDescent="0.4">
      <c r="B133" s="147"/>
      <c r="C133" s="104"/>
      <c r="D133" s="99">
        <f>C133*$D136</f>
        <v>0</v>
      </c>
      <c r="E133" s="101"/>
      <c r="F133" s="101"/>
      <c r="G133" s="102"/>
      <c r="H133" s="101"/>
      <c r="I133" s="145" t="str">
        <f>IF(D133=0,"",VLOOKUP(H133,'[16]From SAM'!$B$2:$C$52,2,))</f>
        <v/>
      </c>
      <c r="J133" s="101"/>
      <c r="K133" s="99" t="str">
        <f t="shared" si="15"/>
        <v/>
      </c>
      <c r="L133" s="100" t="str">
        <f t="shared" si="13"/>
        <v/>
      </c>
      <c r="M133" s="99" t="str">
        <f t="shared" si="14"/>
        <v/>
      </c>
      <c r="O133" s="146" t="s">
        <v>695</v>
      </c>
      <c r="P133" s="145" t="s">
        <v>694</v>
      </c>
      <c r="Q133" s="145"/>
      <c r="R133" s="101"/>
      <c r="T133" s="146"/>
      <c r="U133" s="145"/>
      <c r="V133" s="101"/>
      <c r="W133" s="101"/>
      <c r="X133" s="101"/>
      <c r="Y133" s="288"/>
      <c r="Z133" s="101"/>
      <c r="AA133" s="288"/>
    </row>
    <row r="134" spans="2:28" ht="16.5" outlineLevel="1" thickBot="1" x14ac:dyDescent="0.4">
      <c r="B134" s="147"/>
      <c r="C134" s="104"/>
      <c r="D134" s="99">
        <f>C134*$D136</f>
        <v>0</v>
      </c>
      <c r="E134" s="101"/>
      <c r="F134" s="101"/>
      <c r="G134" s="102"/>
      <c r="H134" s="101"/>
      <c r="I134" s="145" t="str">
        <f>IF(D134=0,"",VLOOKUP(H134,'[16]From SAM'!$B$2:$C$52,2,))</f>
        <v/>
      </c>
      <c r="J134" s="101"/>
      <c r="K134" s="99" t="str">
        <f t="shared" si="15"/>
        <v/>
      </c>
      <c r="L134" s="100" t="str">
        <f t="shared" si="13"/>
        <v/>
      </c>
      <c r="M134" s="99" t="str">
        <f t="shared" si="14"/>
        <v/>
      </c>
      <c r="R134" s="305" t="s">
        <v>919</v>
      </c>
    </row>
    <row r="135" spans="2:28" ht="17.25" outlineLevel="1" thickTop="1" thickBot="1" x14ac:dyDescent="0.4">
      <c r="B135" s="147"/>
      <c r="C135" s="104"/>
      <c r="D135" s="99">
        <f>C135*$D136</f>
        <v>0</v>
      </c>
      <c r="E135" s="101"/>
      <c r="F135" s="101"/>
      <c r="G135" s="102"/>
      <c r="H135" s="101"/>
      <c r="I135" s="145" t="str">
        <f>IF(D135=0,"",VLOOKUP(H135,'[16]From SAM'!$B$2:$C$52,2,))</f>
        <v/>
      </c>
      <c r="J135" s="101"/>
      <c r="K135" s="99" t="str">
        <f t="shared" si="15"/>
        <v/>
      </c>
      <c r="L135" s="100" t="str">
        <f t="shared" si="13"/>
        <v/>
      </c>
      <c r="M135" s="99" t="str">
        <f t="shared" si="14"/>
        <v/>
      </c>
      <c r="O135" s="159" t="s">
        <v>691</v>
      </c>
      <c r="P135" s="158" t="str">
        <f>P130</f>
        <v>US$</v>
      </c>
      <c r="Q135" s="158"/>
      <c r="R135" s="304">
        <f>R130</f>
        <v>7.166666666666667E-2</v>
      </c>
      <c r="S135" s="477" t="s">
        <v>997</v>
      </c>
      <c r="T135" s="477"/>
      <c r="U135" s="477"/>
      <c r="V135" s="478" t="s">
        <v>996</v>
      </c>
      <c r="W135" s="479"/>
      <c r="X135" s="479"/>
      <c r="Y135" s="479"/>
      <c r="Z135" s="479"/>
      <c r="AA135" s="480"/>
      <c r="AB135" s="303"/>
    </row>
    <row r="136" spans="2:28" s="91" customFormat="1" ht="16.5" outlineLevel="1" thickBot="1" x14ac:dyDescent="0.4">
      <c r="B136" s="157" t="s">
        <v>690</v>
      </c>
      <c r="C136" s="156">
        <f>SUM(C127:C135)</f>
        <v>1</v>
      </c>
      <c r="D136" s="151">
        <f>R137</f>
        <v>0.14256296530967844</v>
      </c>
      <c r="E136" s="101"/>
      <c r="F136" s="101"/>
      <c r="G136" s="154"/>
      <c r="H136" s="153"/>
      <c r="I136" s="145"/>
      <c r="J136" s="101"/>
      <c r="K136" s="153"/>
      <c r="L136" s="152">
        <f>M136/D136-1</f>
        <v>0.21841072887323176</v>
      </c>
      <c r="M136" s="151">
        <f>SUM(M127:M135)</f>
        <v>0.17370024647329457</v>
      </c>
      <c r="O136" s="146" t="s">
        <v>689</v>
      </c>
      <c r="P136" s="145" t="str">
        <f>P135</f>
        <v>US$</v>
      </c>
      <c r="Q136" s="145"/>
      <c r="R136" s="286">
        <f>X130</f>
        <v>0.15254237288135594</v>
      </c>
      <c r="T136" s="77"/>
      <c r="U136" s="77"/>
      <c r="V136" s="77"/>
      <c r="W136" s="77"/>
    </row>
    <row r="137" spans="2:28" ht="16.5" outlineLevel="1" thickBot="1" x14ac:dyDescent="0.4">
      <c r="B137" s="146"/>
      <c r="C137" s="148"/>
      <c r="D137" s="147" t="s">
        <v>734</v>
      </c>
      <c r="E137" s="147"/>
      <c r="F137" s="147"/>
      <c r="G137" s="147" t="s">
        <v>734</v>
      </c>
      <c r="H137" s="147"/>
      <c r="I137" s="147"/>
      <c r="J137" s="147"/>
      <c r="K137" s="147"/>
      <c r="L137" s="145"/>
      <c r="M137" s="145"/>
      <c r="O137" s="146" t="s">
        <v>995</v>
      </c>
      <c r="P137" s="145" t="str">
        <f>P136</f>
        <v>US$</v>
      </c>
      <c r="Q137" s="145"/>
      <c r="R137" s="279">
        <f>R136/(1+$C$22)</f>
        <v>0.14256296530967844</v>
      </c>
      <c r="S137" s="143" t="s">
        <v>994</v>
      </c>
    </row>
    <row r="139" spans="2:28" s="167" customFormat="1" x14ac:dyDescent="0.35">
      <c r="B139" s="167" t="s">
        <v>733</v>
      </c>
      <c r="C139" s="168" t="s">
        <v>993</v>
      </c>
      <c r="D139" s="169" t="s">
        <v>732</v>
      </c>
      <c r="E139" s="170"/>
      <c r="F139" s="169"/>
      <c r="G139" s="169"/>
      <c r="H139" s="169" t="s">
        <v>992</v>
      </c>
      <c r="I139" s="169"/>
      <c r="J139" s="169"/>
      <c r="K139" s="169"/>
      <c r="L139" s="169"/>
      <c r="N139" s="169" t="s">
        <v>731</v>
      </c>
      <c r="O139" s="168"/>
    </row>
    <row r="140" spans="2:28" outlineLevel="1" x14ac:dyDescent="0.35">
      <c r="B140" s="149" t="s">
        <v>991</v>
      </c>
    </row>
    <row r="141" spans="2:28" s="166" customFormat="1" ht="16.5" outlineLevel="1" thickBot="1" x14ac:dyDescent="0.25"/>
    <row r="142" spans="2:28" ht="16.5" outlineLevel="1" thickBot="1" x14ac:dyDescent="0.4">
      <c r="B142" s="109" t="s">
        <v>990</v>
      </c>
      <c r="C142" s="109" t="s">
        <v>989</v>
      </c>
      <c r="D142" s="109" t="s">
        <v>916</v>
      </c>
      <c r="E142" s="109" t="s">
        <v>988</v>
      </c>
      <c r="F142" s="166"/>
      <c r="G142" s="166"/>
      <c r="H142" s="166"/>
      <c r="I142" s="166"/>
    </row>
    <row r="143" spans="2:28" ht="16.5" outlineLevel="1" thickBot="1" x14ac:dyDescent="0.4">
      <c r="B143" s="146" t="s">
        <v>987</v>
      </c>
      <c r="C143" s="302" t="s">
        <v>985</v>
      </c>
      <c r="D143" s="145" t="s">
        <v>974</v>
      </c>
      <c r="E143" s="184">
        <v>2709</v>
      </c>
      <c r="F143" s="166"/>
      <c r="G143" s="166"/>
      <c r="H143" s="166"/>
      <c r="I143" s="166"/>
    </row>
    <row r="144" spans="2:28" ht="16.5" outlineLevel="1" thickBot="1" x14ac:dyDescent="0.4">
      <c r="B144" s="146" t="s">
        <v>986</v>
      </c>
      <c r="C144" s="300" t="s">
        <v>985</v>
      </c>
      <c r="D144" s="145" t="s">
        <v>974</v>
      </c>
      <c r="E144" s="184">
        <v>4544</v>
      </c>
      <c r="F144" s="166"/>
      <c r="G144" s="166"/>
      <c r="H144" s="166"/>
      <c r="I144" s="166"/>
    </row>
    <row r="145" spans="2:10" ht="16.5" outlineLevel="1" thickBot="1" x14ac:dyDescent="0.4">
      <c r="B145" s="146" t="s">
        <v>984</v>
      </c>
      <c r="C145" s="300"/>
      <c r="D145" s="145" t="s">
        <v>974</v>
      </c>
      <c r="E145" s="184">
        <v>4920</v>
      </c>
      <c r="F145" s="166"/>
      <c r="G145" s="166"/>
      <c r="H145" s="166"/>
      <c r="I145" s="166"/>
    </row>
    <row r="146" spans="2:10" ht="16.5" outlineLevel="1" thickBot="1" x14ac:dyDescent="0.4">
      <c r="B146" s="146" t="s">
        <v>976</v>
      </c>
      <c r="C146" s="300"/>
      <c r="D146" s="145" t="s">
        <v>974</v>
      </c>
      <c r="E146" s="184">
        <v>6067</v>
      </c>
      <c r="F146" s="166"/>
      <c r="G146" s="166"/>
      <c r="H146" s="166"/>
      <c r="I146" s="166"/>
    </row>
    <row r="147" spans="2:10" ht="16.5" outlineLevel="1" thickBot="1" x14ac:dyDescent="0.4">
      <c r="B147" s="146" t="s">
        <v>983</v>
      </c>
      <c r="C147" s="300"/>
      <c r="D147" s="145" t="s">
        <v>974</v>
      </c>
      <c r="E147" s="184">
        <v>7375</v>
      </c>
      <c r="F147" s="166"/>
      <c r="G147" s="166"/>
      <c r="H147" s="166"/>
      <c r="I147" s="166"/>
    </row>
    <row r="148" spans="2:10" ht="16.5" outlineLevel="1" thickBot="1" x14ac:dyDescent="0.4">
      <c r="B148" s="146" t="s">
        <v>982</v>
      </c>
      <c r="C148" s="300"/>
      <c r="D148" s="145" t="s">
        <v>974</v>
      </c>
      <c r="E148" s="184">
        <v>5400</v>
      </c>
      <c r="F148" s="166"/>
      <c r="G148" s="166"/>
      <c r="H148" s="166"/>
      <c r="I148" s="166"/>
    </row>
    <row r="149" spans="2:10" ht="16.5" outlineLevel="1" thickBot="1" x14ac:dyDescent="0.4">
      <c r="B149" s="146" t="s">
        <v>981</v>
      </c>
      <c r="C149" s="300"/>
      <c r="D149" s="145" t="s">
        <v>974</v>
      </c>
      <c r="E149" s="184">
        <v>3770</v>
      </c>
      <c r="F149" s="166"/>
      <c r="G149" s="166"/>
      <c r="H149" s="166"/>
      <c r="I149" s="166"/>
    </row>
    <row r="150" spans="2:10" ht="32.25" outlineLevel="1" thickBot="1" x14ac:dyDescent="0.4">
      <c r="B150" s="146" t="s">
        <v>980</v>
      </c>
      <c r="C150" s="300"/>
      <c r="D150" s="145" t="s">
        <v>974</v>
      </c>
      <c r="E150" s="184">
        <v>7285</v>
      </c>
      <c r="F150" s="166"/>
      <c r="G150" s="166"/>
      <c r="H150" s="166"/>
      <c r="I150" s="166"/>
    </row>
    <row r="151" spans="2:10" ht="32.25" outlineLevel="1" thickBot="1" x14ac:dyDescent="0.4">
      <c r="B151" s="146" t="s">
        <v>979</v>
      </c>
      <c r="C151" s="300"/>
      <c r="D151" s="145" t="s">
        <v>974</v>
      </c>
      <c r="E151" s="184">
        <v>1702</v>
      </c>
      <c r="F151" s="166"/>
      <c r="G151" s="166"/>
      <c r="H151" s="166"/>
      <c r="I151" s="166"/>
    </row>
    <row r="152" spans="2:10" ht="16.5" outlineLevel="1" thickBot="1" x14ac:dyDescent="0.4">
      <c r="B152" s="301" t="s">
        <v>978</v>
      </c>
      <c r="C152" s="300"/>
      <c r="D152" s="145" t="s">
        <v>974</v>
      </c>
      <c r="E152" s="184">
        <v>3510</v>
      </c>
      <c r="F152" s="166"/>
      <c r="G152" s="166"/>
      <c r="H152" s="166"/>
      <c r="I152" s="166"/>
    </row>
    <row r="153" spans="2:10" ht="32.25" outlineLevel="1" thickBot="1" x14ac:dyDescent="0.4">
      <c r="B153" s="146" t="s">
        <v>977</v>
      </c>
      <c r="C153" s="300"/>
      <c r="D153" s="145" t="s">
        <v>974</v>
      </c>
      <c r="E153" s="184">
        <v>6761</v>
      </c>
      <c r="F153" s="166"/>
      <c r="G153" s="166"/>
      <c r="H153" s="166"/>
      <c r="I153" s="166"/>
    </row>
    <row r="154" spans="2:10" ht="16.5" outlineLevel="1" thickBot="1" x14ac:dyDescent="0.4">
      <c r="B154" s="301" t="s">
        <v>976</v>
      </c>
      <c r="C154" s="300"/>
      <c r="D154" s="145" t="s">
        <v>974</v>
      </c>
      <c r="E154" s="184">
        <v>6067</v>
      </c>
      <c r="F154" s="166"/>
      <c r="G154" s="166"/>
      <c r="H154" s="166"/>
      <c r="I154" s="166"/>
    </row>
    <row r="155" spans="2:10" ht="32.25" outlineLevel="1" thickBot="1" x14ac:dyDescent="0.4">
      <c r="B155" s="146" t="s">
        <v>975</v>
      </c>
      <c r="C155" s="300"/>
      <c r="D155" s="145" t="s">
        <v>974</v>
      </c>
      <c r="E155" s="184">
        <v>3782</v>
      </c>
      <c r="F155" s="166"/>
      <c r="G155" s="166"/>
      <c r="H155" s="166"/>
      <c r="I155" s="166"/>
    </row>
    <row r="156" spans="2:10" outlineLevel="1" x14ac:dyDescent="0.35">
      <c r="B156" s="299" t="s">
        <v>973</v>
      </c>
      <c r="C156" s="298"/>
      <c r="D156" s="297"/>
      <c r="E156" s="296">
        <v>1477</v>
      </c>
      <c r="F156" s="166"/>
      <c r="G156" s="166"/>
      <c r="H156" s="166"/>
      <c r="I156" s="166"/>
    </row>
    <row r="157" spans="2:10" ht="16.5" outlineLevel="1" thickBot="1" x14ac:dyDescent="0.4"/>
    <row r="158" spans="2:10" s="91" customFormat="1" ht="16.5" outlineLevel="1" thickBot="1" x14ac:dyDescent="0.4">
      <c r="B158" s="159"/>
      <c r="C158" s="159"/>
      <c r="D158" s="158" t="s">
        <v>972</v>
      </c>
      <c r="E158" s="158" t="s">
        <v>971</v>
      </c>
      <c r="F158" s="158" t="s">
        <v>970</v>
      </c>
      <c r="G158" s="158"/>
      <c r="H158" s="158"/>
      <c r="I158" s="158"/>
      <c r="J158" s="77"/>
    </row>
    <row r="159" spans="2:10" s="91" customFormat="1" ht="16.5" outlineLevel="1" thickBot="1" x14ac:dyDescent="0.4">
      <c r="B159" s="146"/>
      <c r="C159" s="158" t="s">
        <v>969</v>
      </c>
      <c r="D159" s="150">
        <f>E143</f>
        <v>2709</v>
      </c>
      <c r="E159" s="150">
        <f>E156</f>
        <v>1477</v>
      </c>
      <c r="F159" s="295">
        <f>D159/E159-1</f>
        <v>0.83412322274881512</v>
      </c>
      <c r="G159" s="145"/>
      <c r="H159" s="145"/>
      <c r="I159" s="145"/>
      <c r="J159" s="77"/>
    </row>
    <row r="160" spans="2:10" s="91" customFormat="1" ht="16.5" outlineLevel="1" thickBot="1" x14ac:dyDescent="0.4">
      <c r="B160" s="146"/>
      <c r="C160" s="145" t="s">
        <v>968</v>
      </c>
      <c r="D160" s="150">
        <f>E146</f>
        <v>6067</v>
      </c>
      <c r="E160" s="150">
        <f>E151</f>
        <v>1702</v>
      </c>
      <c r="F160" s="295">
        <f>D160/E160-1</f>
        <v>2.5646298472385429</v>
      </c>
      <c r="G160" s="145"/>
      <c r="H160" s="145"/>
      <c r="I160" s="145"/>
      <c r="J160" s="77"/>
    </row>
    <row r="161" spans="2:32" ht="16.5" outlineLevel="1" thickBot="1" x14ac:dyDescent="0.4">
      <c r="B161" s="146"/>
      <c r="C161" s="145" t="s">
        <v>967</v>
      </c>
      <c r="D161" s="150">
        <f>E154</f>
        <v>6067</v>
      </c>
      <c r="E161" s="150">
        <f>E152</f>
        <v>3510</v>
      </c>
      <c r="F161" s="295">
        <f>D161/E161-1</f>
        <v>0.72849002849002842</v>
      </c>
      <c r="G161" s="145"/>
      <c r="H161" s="145"/>
      <c r="I161" s="145"/>
    </row>
    <row r="162" spans="2:32" ht="16.5" outlineLevel="1" thickBot="1" x14ac:dyDescent="0.4">
      <c r="B162" s="146"/>
      <c r="C162" s="145" t="s">
        <v>966</v>
      </c>
      <c r="D162" s="150">
        <f>E153</f>
        <v>6761</v>
      </c>
      <c r="E162" s="150">
        <f>E155</f>
        <v>3782</v>
      </c>
      <c r="F162" s="295">
        <f>D162/E162-1</f>
        <v>0.78767847699629834</v>
      </c>
      <c r="G162" s="145"/>
      <c r="H162" s="145"/>
      <c r="I162" s="145"/>
    </row>
    <row r="163" spans="2:32" x14ac:dyDescent="0.35">
      <c r="B163" s="193"/>
      <c r="C163" s="293"/>
      <c r="D163" s="293"/>
      <c r="E163" s="292"/>
      <c r="F163" s="294">
        <f>AVERAGE(F159:F162)</f>
        <v>1.2287303938684211</v>
      </c>
      <c r="G163" s="292"/>
      <c r="H163" s="293"/>
      <c r="I163" s="292"/>
    </row>
    <row r="164" spans="2:32" s="167" customFormat="1" x14ac:dyDescent="0.35">
      <c r="B164" s="167" t="s">
        <v>733</v>
      </c>
      <c r="C164" s="168" t="s">
        <v>965</v>
      </c>
      <c r="D164" s="169" t="s">
        <v>732</v>
      </c>
      <c r="E164" s="170" t="s">
        <v>964</v>
      </c>
      <c r="F164" s="169"/>
      <c r="G164" s="169"/>
      <c r="H164" s="169" t="s">
        <v>934</v>
      </c>
      <c r="J164" s="169"/>
      <c r="K164" s="169"/>
      <c r="L164" s="169"/>
      <c r="N164" s="169" t="s">
        <v>731</v>
      </c>
      <c r="O164" s="168"/>
    </row>
    <row r="165" spans="2:32" ht="16.5" outlineLevel="1" thickBot="1" x14ac:dyDescent="0.4"/>
    <row r="166" spans="2:32" s="166" customFormat="1" ht="48" outlineLevel="1" thickBot="1" x14ac:dyDescent="0.25">
      <c r="B166" s="109" t="s">
        <v>639</v>
      </c>
      <c r="C166" s="110" t="s">
        <v>638</v>
      </c>
      <c r="D166" s="109" t="s">
        <v>637</v>
      </c>
      <c r="E166" s="109" t="s">
        <v>636</v>
      </c>
      <c r="F166" s="109"/>
      <c r="G166" s="109" t="s">
        <v>635</v>
      </c>
      <c r="H166" s="109" t="s">
        <v>634</v>
      </c>
      <c r="I166" s="109" t="s">
        <v>632</v>
      </c>
      <c r="J166" s="109" t="s">
        <v>631</v>
      </c>
      <c r="K166" s="109" t="s">
        <v>630</v>
      </c>
      <c r="L166" s="109" t="s">
        <v>629</v>
      </c>
      <c r="M166" s="109" t="s">
        <v>628</v>
      </c>
      <c r="O166" s="109" t="s">
        <v>730</v>
      </c>
      <c r="P166" s="109" t="s">
        <v>728</v>
      </c>
      <c r="Q166" s="109" t="s">
        <v>916</v>
      </c>
      <c r="R166" s="109" t="s">
        <v>727</v>
      </c>
      <c r="T166" s="109" t="s">
        <v>729</v>
      </c>
      <c r="U166" s="109" t="s">
        <v>728</v>
      </c>
      <c r="V166" s="109" t="s">
        <v>727</v>
      </c>
      <c r="W166" s="109" t="s">
        <v>457</v>
      </c>
      <c r="X166" s="467" t="s">
        <v>963</v>
      </c>
      <c r="Y166" s="469"/>
      <c r="Z166" s="467" t="s">
        <v>963</v>
      </c>
      <c r="AA166" s="469"/>
      <c r="AC166" s="474" t="s">
        <v>962</v>
      </c>
      <c r="AD166" s="475"/>
      <c r="AE166" s="475"/>
      <c r="AF166" s="476"/>
    </row>
    <row r="167" spans="2:32" ht="17.25" outlineLevel="1" thickBot="1" x14ac:dyDescent="0.4">
      <c r="B167" s="106" t="s">
        <v>961</v>
      </c>
      <c r="C167" s="105">
        <v>0.32</v>
      </c>
      <c r="D167" s="99">
        <f>C167*$D176</f>
        <v>2.0313043478260871E-2</v>
      </c>
      <c r="E167" s="101" t="s">
        <v>613</v>
      </c>
      <c r="F167" s="101"/>
      <c r="G167" s="102">
        <v>1</v>
      </c>
      <c r="H167" s="101" t="s">
        <v>602</v>
      </c>
      <c r="I167" s="145">
        <f>IF(D167=0,"",VLOOKUP(H167,'[16]From SAM'!$B$2:$C$52,2,))</f>
        <v>0.13001734713264965</v>
      </c>
      <c r="J167" s="101" t="s">
        <v>947</v>
      </c>
      <c r="K167" s="99">
        <f t="shared" ref="K167:K175" si="16">IF(J167="E",$E$33,IF(J167="C",$E$28,IF(J167="US",$E$38,"")))</f>
        <v>1.928030303030303</v>
      </c>
      <c r="L167" s="100">
        <f t="shared" ref="L167:L175" si="17">IF(M167="","",M167/D167-1)</f>
        <v>0.12066003805870906</v>
      </c>
      <c r="M167" s="99">
        <f>IF(D167=0,"",(I167*D167*K167*G167)+(D167-D167*I167*G167))</f>
        <v>2.2764016077436038E-2</v>
      </c>
      <c r="O167" s="146" t="s">
        <v>724</v>
      </c>
      <c r="P167" s="145" t="s">
        <v>960</v>
      </c>
      <c r="Q167" s="145"/>
      <c r="R167" s="184">
        <v>100</v>
      </c>
      <c r="S167" s="77">
        <f>R167/C19</f>
        <v>6.9444444444444446</v>
      </c>
      <c r="T167" s="146" t="s">
        <v>724</v>
      </c>
      <c r="U167" s="145" t="s">
        <v>701</v>
      </c>
      <c r="V167" s="101"/>
      <c r="W167" s="101"/>
      <c r="X167" s="184"/>
      <c r="Y167" s="288"/>
      <c r="AC167" s="287" t="s">
        <v>634</v>
      </c>
      <c r="AD167" s="287" t="str">
        <f>'[16]From SAM'!B31</f>
        <v>Electrical machinery</v>
      </c>
      <c r="AE167" s="287"/>
      <c r="AF167" s="287"/>
    </row>
    <row r="168" spans="2:32" ht="17.25" outlineLevel="1" thickBot="1" x14ac:dyDescent="0.4">
      <c r="B168" s="147" t="s">
        <v>959</v>
      </c>
      <c r="C168" s="104">
        <v>0.16</v>
      </c>
      <c r="D168" s="99">
        <f>C168*$D176</f>
        <v>1.0156521739130436E-2</v>
      </c>
      <c r="E168" s="101" t="s">
        <v>613</v>
      </c>
      <c r="F168" s="101"/>
      <c r="G168" s="102">
        <v>1</v>
      </c>
      <c r="H168" s="101" t="s">
        <v>602</v>
      </c>
      <c r="I168" s="145">
        <f>IF(D168=0,"",VLOOKUP(H168,'[16]From SAM'!$B$2:$C$52,2,))</f>
        <v>0.13001734713264965</v>
      </c>
      <c r="J168" s="101" t="s">
        <v>947</v>
      </c>
      <c r="K168" s="99">
        <f t="shared" si="16"/>
        <v>1.928030303030303</v>
      </c>
      <c r="L168" s="100">
        <f t="shared" si="17"/>
        <v>0.12066003805870906</v>
      </c>
      <c r="M168" s="99">
        <f>IF(D168=0,"",(I168*D168*K168*G168)+(D168-D168*I168*G168))</f>
        <v>1.1382008038718019E-2</v>
      </c>
      <c r="O168" s="146" t="s">
        <v>718</v>
      </c>
      <c r="P168" s="145" t="s">
        <v>719</v>
      </c>
      <c r="Q168" s="145"/>
      <c r="R168" s="184">
        <v>150000</v>
      </c>
      <c r="T168" s="146" t="s">
        <v>718</v>
      </c>
      <c r="U168" s="145" t="s">
        <v>701</v>
      </c>
      <c r="V168" s="101"/>
      <c r="W168" s="101"/>
      <c r="X168" s="184"/>
      <c r="Y168" s="288"/>
      <c r="Z168" s="184"/>
      <c r="AA168" s="288"/>
      <c r="AC168" s="287" t="s">
        <v>958</v>
      </c>
      <c r="AD168" s="291">
        <f>M176</f>
        <v>7.9964884697026728E-2</v>
      </c>
      <c r="AE168" s="287" t="s">
        <v>701</v>
      </c>
      <c r="AF168" s="287"/>
    </row>
    <row r="169" spans="2:32" ht="17.25" outlineLevel="1" thickBot="1" x14ac:dyDescent="0.4">
      <c r="B169" s="147" t="s">
        <v>957</v>
      </c>
      <c r="C169" s="104">
        <v>0.11</v>
      </c>
      <c r="D169" s="99">
        <f>C169*$D176</f>
        <v>6.9826086956521743E-3</v>
      </c>
      <c r="E169" s="101" t="s">
        <v>613</v>
      </c>
      <c r="F169" s="101"/>
      <c r="G169" s="102">
        <v>1</v>
      </c>
      <c r="H169" s="101" t="str">
        <f>'[16]From SAM'!B29</f>
        <v xml:space="preserve">Structural metal </v>
      </c>
      <c r="I169" s="145">
        <f>IF(D169=0,"",VLOOKUP(H169,'[16]From SAM'!$B$2:$C$52,2,))</f>
        <v>0.23534870376544167</v>
      </c>
      <c r="J169" s="101" t="s">
        <v>947</v>
      </c>
      <c r="K169" s="99">
        <f t="shared" si="16"/>
        <v>1.928030303030303</v>
      </c>
      <c r="L169" s="100">
        <f t="shared" si="17"/>
        <v>0.21841072887323176</v>
      </c>
      <c r="M169" s="99">
        <f>IF(D169=0,"",(I169*D169*K169*G169)+(D169-D169*I169*G169))</f>
        <v>8.5076853503061323E-3</v>
      </c>
      <c r="O169" s="146" t="s">
        <v>711</v>
      </c>
      <c r="P169" s="145" t="s">
        <v>710</v>
      </c>
      <c r="Q169" s="145"/>
      <c r="R169" s="101">
        <v>55</v>
      </c>
      <c r="T169" s="146" t="s">
        <v>711</v>
      </c>
      <c r="U169" s="145" t="s">
        <v>710</v>
      </c>
      <c r="V169" s="101"/>
      <c r="W169" s="101"/>
      <c r="X169" s="101"/>
      <c r="Y169" s="288"/>
      <c r="Z169" s="101"/>
      <c r="AA169" s="288"/>
      <c r="AC169" s="287" t="s">
        <v>956</v>
      </c>
      <c r="AD169" s="285">
        <f>AD168*C19</f>
        <v>1.1514943396371848</v>
      </c>
      <c r="AE169" s="287" t="s">
        <v>955</v>
      </c>
      <c r="AF169" s="287"/>
    </row>
    <row r="170" spans="2:32" ht="17.25" outlineLevel="1" thickBot="1" x14ac:dyDescent="0.4">
      <c r="B170" s="147" t="s">
        <v>954</v>
      </c>
      <c r="C170" s="104">
        <v>0.23</v>
      </c>
      <c r="D170" s="99">
        <f>C170*$D176</f>
        <v>1.4600000000000002E-2</v>
      </c>
      <c r="E170" s="101" t="s">
        <v>612</v>
      </c>
      <c r="F170" s="101"/>
      <c r="G170" s="102">
        <v>0</v>
      </c>
      <c r="H170" s="101" t="s">
        <v>602</v>
      </c>
      <c r="I170" s="145">
        <f>IF(D170=0,"",VLOOKUP(H170,'[16]From SAM'!$B$2:$C$52,2,))</f>
        <v>0.13001734713264965</v>
      </c>
      <c r="J170" s="101"/>
      <c r="K170" s="99" t="str">
        <f t="shared" si="16"/>
        <v/>
      </c>
      <c r="L170" s="100">
        <f t="shared" si="17"/>
        <v>4.6666666666666634E-2</v>
      </c>
      <c r="M170" s="99">
        <f>D170*(1+C23-C22)</f>
        <v>1.5281333333333334E-2</v>
      </c>
      <c r="O170" s="146" t="s">
        <v>707</v>
      </c>
      <c r="P170" s="145" t="s">
        <v>701</v>
      </c>
      <c r="Q170" s="145"/>
      <c r="R170" s="101">
        <v>4.4999999999999998E-2</v>
      </c>
      <c r="S170" s="149" t="s">
        <v>945</v>
      </c>
      <c r="T170" s="146" t="s">
        <v>707</v>
      </c>
      <c r="U170" s="145" t="s">
        <v>701</v>
      </c>
      <c r="V170" s="101">
        <v>0.08</v>
      </c>
      <c r="W170" s="101" t="s">
        <v>953</v>
      </c>
      <c r="X170" s="280">
        <f>D70</f>
        <v>6.1016949152542375E-2</v>
      </c>
      <c r="Y170" s="288" t="s">
        <v>952</v>
      </c>
      <c r="Z170" s="290">
        <v>7.2999999999999995E-2</v>
      </c>
      <c r="AA170" s="77" t="s">
        <v>951</v>
      </c>
      <c r="AC170" s="287" t="s">
        <v>950</v>
      </c>
      <c r="AD170" s="287" t="s">
        <v>949</v>
      </c>
      <c r="AE170" s="287"/>
      <c r="AF170" s="287"/>
    </row>
    <row r="171" spans="2:32" ht="17.25" outlineLevel="1" thickBot="1" x14ac:dyDescent="0.4">
      <c r="B171" s="147" t="s">
        <v>948</v>
      </c>
      <c r="C171" s="104">
        <v>0.18</v>
      </c>
      <c r="D171" s="99">
        <f>C171*$D176</f>
        <v>1.1426086956521739E-2</v>
      </c>
      <c r="E171" s="101" t="s">
        <v>613</v>
      </c>
      <c r="F171" s="101"/>
      <c r="G171" s="102">
        <v>1</v>
      </c>
      <c r="H171" s="101" t="str">
        <f>'[16]From SAM'!B2</f>
        <v xml:space="preserve">Labour </v>
      </c>
      <c r="I171" s="145">
        <f>IF(D171=0,"",VLOOKUP(H171,'[16]From SAM'!$B$2:$C$52,2,))</f>
        <v>1</v>
      </c>
      <c r="J171" s="101" t="s">
        <v>947</v>
      </c>
      <c r="K171" s="99">
        <f t="shared" si="16"/>
        <v>1.928030303030303</v>
      </c>
      <c r="L171" s="100">
        <f t="shared" si="17"/>
        <v>0.92803030303030276</v>
      </c>
      <c r="M171" s="99">
        <f>IF(D171=0,"",(I171*D171*K171*G171)+(D171-D171*I171*G171))</f>
        <v>2.2029841897233199E-2</v>
      </c>
      <c r="N171" s="149" t="s">
        <v>946</v>
      </c>
      <c r="O171" s="146" t="s">
        <v>700</v>
      </c>
      <c r="P171" s="145" t="s">
        <v>701</v>
      </c>
      <c r="Q171" s="145"/>
      <c r="R171" s="101">
        <v>4.4999999999999998E-2</v>
      </c>
      <c r="S171" s="149" t="s">
        <v>945</v>
      </c>
      <c r="T171" s="146" t="s">
        <v>700</v>
      </c>
      <c r="U171" s="145" t="s">
        <v>699</v>
      </c>
      <c r="V171" s="101"/>
      <c r="W171" s="101"/>
      <c r="X171" s="101"/>
      <c r="Y171" s="288"/>
      <c r="Z171" s="101"/>
      <c r="AA171" s="288"/>
      <c r="AC171" s="287" t="s">
        <v>944</v>
      </c>
      <c r="AD171" s="285"/>
      <c r="AE171" s="287" t="s">
        <v>943</v>
      </c>
      <c r="AF171" s="287"/>
    </row>
    <row r="172" spans="2:32" ht="17.25" outlineLevel="1" thickBot="1" x14ac:dyDescent="0.4">
      <c r="B172" s="147"/>
      <c r="C172" s="104"/>
      <c r="D172" s="99">
        <f>C172*$D176</f>
        <v>0</v>
      </c>
      <c r="E172" s="101"/>
      <c r="F172" s="101"/>
      <c r="G172" s="102"/>
      <c r="H172" s="101"/>
      <c r="I172" s="145" t="str">
        <f>IF(D172=0,"",VLOOKUP(H172,'[16]From SAM'!$B$2:$C$52,2,))</f>
        <v/>
      </c>
      <c r="J172" s="101"/>
      <c r="K172" s="99" t="str">
        <f t="shared" si="16"/>
        <v/>
      </c>
      <c r="L172" s="100" t="str">
        <f t="shared" si="17"/>
        <v/>
      </c>
      <c r="M172" s="99" t="str">
        <f>IF(D172=0,"",(I172*D172*K172*G172)+(D172-D172*I172*G172))</f>
        <v/>
      </c>
      <c r="O172" s="146" t="s">
        <v>697</v>
      </c>
      <c r="P172" s="145" t="s">
        <v>694</v>
      </c>
      <c r="Q172" s="145"/>
      <c r="R172" s="145">
        <f>R171/R170-1</f>
        <v>0</v>
      </c>
      <c r="T172" s="146" t="s">
        <v>697</v>
      </c>
      <c r="U172" s="145" t="s">
        <v>694</v>
      </c>
      <c r="V172" s="145">
        <f>V171/V170-1</f>
        <v>-1</v>
      </c>
      <c r="W172" s="101"/>
      <c r="X172" s="145"/>
      <c r="Y172" s="288"/>
      <c r="Z172" s="145"/>
      <c r="AA172" s="288"/>
      <c r="AC172" s="287" t="s">
        <v>942</v>
      </c>
      <c r="AD172" s="285">
        <f>AD169*1000000</f>
        <v>1151494.3396371847</v>
      </c>
      <c r="AE172" s="287"/>
      <c r="AF172" s="287"/>
    </row>
    <row r="173" spans="2:32" ht="17.25" outlineLevel="1" thickBot="1" x14ac:dyDescent="0.4">
      <c r="B173" s="147"/>
      <c r="C173" s="104"/>
      <c r="D173" s="99">
        <f>C173*$D176</f>
        <v>0</v>
      </c>
      <c r="E173" s="101"/>
      <c r="F173" s="101"/>
      <c r="G173" s="102"/>
      <c r="H173" s="101"/>
      <c r="I173" s="145" t="str">
        <f>IF(D173=0,"",VLOOKUP(H173,'[16]From SAM'!$B$2:$C$52,2,))</f>
        <v/>
      </c>
      <c r="J173" s="101"/>
      <c r="K173" s="99" t="str">
        <f t="shared" si="16"/>
        <v/>
      </c>
      <c r="L173" s="100" t="str">
        <f t="shared" si="17"/>
        <v/>
      </c>
      <c r="M173" s="99" t="str">
        <f>IF(D173=0,"",(I173*D173*K173*G173)+(D173-D173*I173*G173))</f>
        <v/>
      </c>
      <c r="O173" s="146" t="s">
        <v>695</v>
      </c>
      <c r="P173" s="145" t="s">
        <v>694</v>
      </c>
      <c r="Q173" s="145"/>
      <c r="R173" s="289">
        <v>0.4</v>
      </c>
      <c r="T173" s="146" t="s">
        <v>695</v>
      </c>
      <c r="U173" s="145" t="s">
        <v>694</v>
      </c>
      <c r="V173" s="101"/>
      <c r="W173" s="101"/>
      <c r="X173" s="101"/>
      <c r="Y173" s="288"/>
      <c r="Z173" s="101"/>
      <c r="AA173" s="288"/>
      <c r="AC173" s="287" t="s">
        <v>941</v>
      </c>
      <c r="AD173" s="287">
        <f>'[16]From SAM'!E31</f>
        <v>0.7729491147318106</v>
      </c>
      <c r="AE173" s="287" t="s">
        <v>940</v>
      </c>
      <c r="AF173" s="287"/>
    </row>
    <row r="174" spans="2:32" ht="17.25" outlineLevel="1" thickBot="1" x14ac:dyDescent="0.4">
      <c r="B174" s="147"/>
      <c r="C174" s="104"/>
      <c r="D174" s="99">
        <f>C174*$D176</f>
        <v>0</v>
      </c>
      <c r="E174" s="101"/>
      <c r="F174" s="101"/>
      <c r="G174" s="102"/>
      <c r="H174" s="101"/>
      <c r="I174" s="145" t="str">
        <f>IF(D174=0,"",VLOOKUP(H174,'[16]From SAM'!$B$2:$C$52,2,))</f>
        <v/>
      </c>
      <c r="J174" s="101"/>
      <c r="K174" s="99" t="str">
        <f t="shared" si="16"/>
        <v/>
      </c>
      <c r="L174" s="100" t="str">
        <f t="shared" si="17"/>
        <v/>
      </c>
      <c r="M174" s="99" t="str">
        <f>IF(D174=0,"",(I174*D174*K174*G174)+(D174-D174*I174*G174))</f>
        <v/>
      </c>
      <c r="AC174" s="77" t="s">
        <v>939</v>
      </c>
      <c r="AD174" s="85">
        <f>R173</f>
        <v>0.4</v>
      </c>
      <c r="AE174" s="287"/>
      <c r="AF174" s="287"/>
    </row>
    <row r="175" spans="2:32" ht="16.5" outlineLevel="1" thickBot="1" x14ac:dyDescent="0.4">
      <c r="B175" s="147"/>
      <c r="C175" s="104"/>
      <c r="D175" s="99">
        <f>C175*$D176</f>
        <v>0</v>
      </c>
      <c r="E175" s="101"/>
      <c r="F175" s="101"/>
      <c r="G175" s="102"/>
      <c r="H175" s="101"/>
      <c r="I175" s="145" t="str">
        <f>IF(D175=0,"",VLOOKUP(H175,'[16]From SAM'!$B$2:$C$52,2,))</f>
        <v/>
      </c>
      <c r="J175" s="101"/>
      <c r="K175" s="99" t="str">
        <f t="shared" si="16"/>
        <v/>
      </c>
      <c r="L175" s="100" t="str">
        <f t="shared" si="17"/>
        <v/>
      </c>
      <c r="M175" s="99" t="str">
        <f>IF(D175=0,"",(I175*D175*K175*G175)+(D175-D175*I175*G175))</f>
        <v/>
      </c>
      <c r="O175" s="159" t="s">
        <v>691</v>
      </c>
      <c r="P175" s="158" t="str">
        <f>P170</f>
        <v>US$</v>
      </c>
      <c r="Q175" s="158"/>
      <c r="R175" s="158">
        <f>R170</f>
        <v>4.4999999999999998E-2</v>
      </c>
      <c r="AC175" s="77" t="s">
        <v>938</v>
      </c>
      <c r="AD175" s="77">
        <f>'[16]From SAM'!D31</f>
        <v>0.13384530789117749</v>
      </c>
    </row>
    <row r="176" spans="2:32" s="91" customFormat="1" ht="17.25" outlineLevel="1" thickBot="1" x14ac:dyDescent="0.4">
      <c r="B176" s="157" t="s">
        <v>690</v>
      </c>
      <c r="C176" s="156">
        <f>SUM(C167:C175)</f>
        <v>1</v>
      </c>
      <c r="D176" s="151">
        <f>R177</f>
        <v>6.347826086956522E-2</v>
      </c>
      <c r="E176" s="101"/>
      <c r="F176" s="101"/>
      <c r="G176" s="154"/>
      <c r="H176" s="153"/>
      <c r="I176" s="145"/>
      <c r="J176" s="101"/>
      <c r="K176" s="153"/>
      <c r="L176" s="152">
        <f>M176/D176-1</f>
        <v>0.25972078632302376</v>
      </c>
      <c r="M176" s="151">
        <f>SUM(M167:M175)</f>
        <v>7.9964884697026728E-2</v>
      </c>
      <c r="O176" s="146" t="s">
        <v>689</v>
      </c>
      <c r="P176" s="145" t="str">
        <f>P175</f>
        <v>US$</v>
      </c>
      <c r="Q176" s="145"/>
      <c r="R176" s="286">
        <f>Z170</f>
        <v>7.2999999999999995E-2</v>
      </c>
      <c r="T176" s="77"/>
      <c r="U176" s="77"/>
      <c r="V176" s="77"/>
      <c r="W176" s="77"/>
      <c r="AC176" s="285" t="s">
        <v>936</v>
      </c>
      <c r="AD176" s="285">
        <f>AD173*AD172/1000000</f>
        <v>0.8900465304412527</v>
      </c>
    </row>
    <row r="177" spans="2:30" ht="16.5" outlineLevel="1" thickBot="1" x14ac:dyDescent="0.4">
      <c r="B177" s="146"/>
      <c r="C177" s="148"/>
      <c r="D177" s="147"/>
      <c r="E177" s="147"/>
      <c r="F177" s="147"/>
      <c r="G177" s="147" t="s">
        <v>734</v>
      </c>
      <c r="H177" s="147"/>
      <c r="I177" s="147"/>
      <c r="J177" s="147"/>
      <c r="K177" s="147"/>
      <c r="L177" s="145"/>
      <c r="M177" s="145"/>
      <c r="O177" s="146"/>
      <c r="P177" s="145"/>
      <c r="Q177" s="145"/>
      <c r="R177" s="284">
        <f>R176/1.15</f>
        <v>6.347826086956522E-2</v>
      </c>
      <c r="S177" s="143" t="s">
        <v>937</v>
      </c>
      <c r="AC177" s="77" t="s">
        <v>936</v>
      </c>
      <c r="AD177" s="92">
        <f>AD176*AD174/AD175</f>
        <v>2.6599259831055186</v>
      </c>
    </row>
    <row r="179" spans="2:30" s="167" customFormat="1" x14ac:dyDescent="0.35">
      <c r="B179" s="167" t="s">
        <v>733</v>
      </c>
      <c r="C179" s="168" t="s">
        <v>935</v>
      </c>
      <c r="D179" s="169" t="s">
        <v>732</v>
      </c>
      <c r="E179" s="170"/>
      <c r="F179" s="169"/>
      <c r="G179" s="169"/>
      <c r="H179" s="169" t="s">
        <v>934</v>
      </c>
      <c r="I179" s="169"/>
      <c r="J179" s="169"/>
      <c r="K179" s="169"/>
      <c r="L179" s="169"/>
      <c r="N179" s="169" t="s">
        <v>731</v>
      </c>
      <c r="O179" s="168"/>
    </row>
    <row r="180" spans="2:30" ht="16.5" outlineLevel="1" thickBot="1" x14ac:dyDescent="0.4"/>
    <row r="181" spans="2:30" s="166" customFormat="1" ht="48" outlineLevel="1" thickBot="1" x14ac:dyDescent="0.25">
      <c r="B181" s="109" t="s">
        <v>639</v>
      </c>
      <c r="C181" s="110" t="s">
        <v>638</v>
      </c>
      <c r="D181" s="109" t="s">
        <v>637</v>
      </c>
      <c r="E181" s="109" t="s">
        <v>636</v>
      </c>
      <c r="F181" s="109"/>
      <c r="G181" s="109" t="s">
        <v>635</v>
      </c>
      <c r="H181" s="109" t="s">
        <v>634</v>
      </c>
      <c r="I181" s="109" t="s">
        <v>632</v>
      </c>
      <c r="J181" s="109" t="s">
        <v>631</v>
      </c>
      <c r="K181" s="109" t="s">
        <v>630</v>
      </c>
      <c r="L181" s="109" t="s">
        <v>629</v>
      </c>
      <c r="M181" s="109" t="s">
        <v>628</v>
      </c>
      <c r="O181" s="109" t="s">
        <v>730</v>
      </c>
      <c r="P181" s="109" t="s">
        <v>728</v>
      </c>
      <c r="Q181" s="109" t="s">
        <v>916</v>
      </c>
      <c r="R181" s="109" t="s">
        <v>727</v>
      </c>
      <c r="T181" s="109" t="s">
        <v>729</v>
      </c>
      <c r="U181" s="109" t="s">
        <v>728</v>
      </c>
      <c r="V181" s="109" t="s">
        <v>727</v>
      </c>
      <c r="W181" s="109" t="s">
        <v>457</v>
      </c>
    </row>
    <row r="182" spans="2:30" ht="77.25" outlineLevel="1" thickBot="1" x14ac:dyDescent="0.4">
      <c r="B182" s="106" t="s">
        <v>933</v>
      </c>
      <c r="C182" s="105">
        <f>32.5%*(100%-50%)*40%</f>
        <v>6.5000000000000002E-2</v>
      </c>
      <c r="D182" s="282">
        <f>C182*$D192</f>
        <v>8.8135593220338979E-4</v>
      </c>
      <c r="E182" s="101" t="s">
        <v>613</v>
      </c>
      <c r="F182" s="101" t="s">
        <v>613</v>
      </c>
      <c r="G182" s="102">
        <v>1</v>
      </c>
      <c r="H182" s="101" t="str">
        <f>'[16]From SAM'!B27</f>
        <v>Basic iron and steel</v>
      </c>
      <c r="I182" s="145">
        <f>IF(D182=0,"",VLOOKUP(H182,'[16]From SAM'!$B$2:$C$52,2,))</f>
        <v>9.7044444371923971E-2</v>
      </c>
      <c r="J182" s="101" t="s">
        <v>739</v>
      </c>
      <c r="K182" s="99">
        <f t="shared" ref="K182:K191" si="18">IF(J182="E",$E$33,IF(J182="C",$E$28,""))</f>
        <v>1.0761099365750528</v>
      </c>
      <c r="L182" s="100">
        <f t="shared" ref="L182:L191" si="19">IF(M182="","",M182/D182-1)</f>
        <v>7.3860465061084124E-3</v>
      </c>
      <c r="M182" s="99">
        <f>IF(D182=0,"",(I182*D182*K182*G182)+(D182-D182*I182*G182))</f>
        <v>8.878656681070785E-4</v>
      </c>
      <c r="O182" s="146" t="s">
        <v>724</v>
      </c>
      <c r="P182" s="145" t="s">
        <v>701</v>
      </c>
      <c r="Q182" s="145"/>
      <c r="R182" s="101"/>
      <c r="T182" s="146" t="s">
        <v>724</v>
      </c>
      <c r="U182" s="145" t="s">
        <v>701</v>
      </c>
      <c r="V182" s="101" t="s">
        <v>932</v>
      </c>
      <c r="W182" s="283" t="s">
        <v>931</v>
      </c>
      <c r="X182" s="77" t="s">
        <v>930</v>
      </c>
    </row>
    <row r="183" spans="2:30" ht="16.5" outlineLevel="1" thickBot="1" x14ac:dyDescent="0.4">
      <c r="B183" s="147" t="s">
        <v>929</v>
      </c>
      <c r="C183" s="104">
        <f>22%*(100%-50%)*40%</f>
        <v>4.4000000000000004E-2</v>
      </c>
      <c r="D183" s="282">
        <f>C183*$D192</f>
        <v>5.9661016949152544E-4</v>
      </c>
      <c r="E183" s="101" t="s">
        <v>612</v>
      </c>
      <c r="F183" s="101"/>
      <c r="G183" s="102">
        <v>1</v>
      </c>
      <c r="H183" s="101"/>
      <c r="I183" s="145" t="e">
        <f>IF(D183=0,"",VLOOKUP(H183,'[16]From SAM'!$B$2:$C$52,2,))</f>
        <v>#N/A</v>
      </c>
      <c r="J183" s="101"/>
      <c r="K183" s="99" t="str">
        <f t="shared" si="18"/>
        <v/>
      </c>
      <c r="L183" s="100">
        <f t="shared" si="19"/>
        <v>0.1166666666666667</v>
      </c>
      <c r="M183" s="99">
        <f>D183*(1+C23)</f>
        <v>6.6621468926553672E-4</v>
      </c>
      <c r="O183" s="146" t="s">
        <v>718</v>
      </c>
      <c r="P183" s="145" t="s">
        <v>719</v>
      </c>
      <c r="Q183" s="145"/>
      <c r="R183" s="101"/>
      <c r="T183" s="146" t="s">
        <v>718</v>
      </c>
      <c r="U183" s="145" t="s">
        <v>701</v>
      </c>
      <c r="V183" s="101"/>
      <c r="W183" s="101"/>
      <c r="X183" s="77" t="s">
        <v>928</v>
      </c>
    </row>
    <row r="184" spans="2:30" ht="16.5" outlineLevel="1" thickBot="1" x14ac:dyDescent="0.4">
      <c r="B184" s="147" t="s">
        <v>927</v>
      </c>
      <c r="C184" s="104">
        <f>14%*(100%-50%)*40%</f>
        <v>2.8000000000000004E-2</v>
      </c>
      <c r="D184" s="282">
        <f>C184*$D192</f>
        <v>3.7966101694915258E-4</v>
      </c>
      <c r="E184" s="101" t="s">
        <v>613</v>
      </c>
      <c r="F184" s="101" t="s">
        <v>613</v>
      </c>
      <c r="G184" s="102">
        <v>1</v>
      </c>
      <c r="H184" s="101" t="str">
        <f>'[16]From SAM'!B24</f>
        <v>Non-metallic minerals</v>
      </c>
      <c r="I184" s="145">
        <f>IF(D184=0,"",VLOOKUP(H184,'[16]From SAM'!$B$2:$C$52,2,))</f>
        <v>0.10947716642839322</v>
      </c>
      <c r="J184" s="101" t="s">
        <v>739</v>
      </c>
      <c r="K184" s="99">
        <f t="shared" si="18"/>
        <v>1.0761099365750528</v>
      </c>
      <c r="L184" s="100">
        <f t="shared" si="19"/>
        <v>8.3323001932815721E-3</v>
      </c>
      <c r="M184" s="99">
        <f t="shared" ref="M184:M189" si="20">IF(D184=0,"",(I184*D184*K184*G184)+(D184-D184*I184*G184))</f>
        <v>3.8282446651405946E-4</v>
      </c>
      <c r="O184" s="146" t="s">
        <v>711</v>
      </c>
      <c r="P184" s="145" t="s">
        <v>710</v>
      </c>
      <c r="Q184" s="145"/>
      <c r="R184" s="101"/>
      <c r="T184" s="146" t="s">
        <v>711</v>
      </c>
      <c r="U184" s="145" t="s">
        <v>710</v>
      </c>
      <c r="V184" s="101"/>
      <c r="W184" s="101"/>
    </row>
    <row r="185" spans="2:30" ht="16.5" outlineLevel="1" thickBot="1" x14ac:dyDescent="0.4">
      <c r="B185" s="147" t="s">
        <v>926</v>
      </c>
      <c r="C185" s="104">
        <f>16.5%*(100%-50%)*40%</f>
        <v>3.3000000000000002E-2</v>
      </c>
      <c r="D185" s="282">
        <f>C185*$D192</f>
        <v>4.4745762711864408E-4</v>
      </c>
      <c r="E185" s="101" t="s">
        <v>613</v>
      </c>
      <c r="F185" s="101" t="s">
        <v>613</v>
      </c>
      <c r="G185" s="102">
        <v>1</v>
      </c>
      <c r="H185" s="101" t="str">
        <f>'[16]From SAM'!B27</f>
        <v>Basic iron and steel</v>
      </c>
      <c r="I185" s="145">
        <f>IF(D185=0,"",VLOOKUP(H185,'[16]From SAM'!$B$2:$C$52,2,))</f>
        <v>9.7044444371923971E-2</v>
      </c>
      <c r="J185" s="101" t="s">
        <v>739</v>
      </c>
      <c r="K185" s="99">
        <f t="shared" si="18"/>
        <v>1.0761099365750528</v>
      </c>
      <c r="L185" s="100">
        <f t="shared" si="19"/>
        <v>7.3860465061084124E-3</v>
      </c>
      <c r="M185" s="99">
        <f t="shared" si="20"/>
        <v>4.5076256996205531E-4</v>
      </c>
      <c r="O185" s="146" t="s">
        <v>707</v>
      </c>
      <c r="P185" s="145" t="s">
        <v>701</v>
      </c>
      <c r="Q185" s="145"/>
      <c r="R185" s="101"/>
      <c r="T185" s="146" t="s">
        <v>707</v>
      </c>
      <c r="U185" s="145" t="s">
        <v>701</v>
      </c>
      <c r="V185" s="280">
        <f>D72</f>
        <v>1.3559322033898305E-2</v>
      </c>
      <c r="W185" s="101" t="s">
        <v>919</v>
      </c>
    </row>
    <row r="186" spans="2:30" ht="16.5" outlineLevel="1" thickBot="1" x14ac:dyDescent="0.4">
      <c r="B186" s="147" t="s">
        <v>925</v>
      </c>
      <c r="C186" s="104">
        <f>15%*(100%-50%)*40%</f>
        <v>0.03</v>
      </c>
      <c r="D186" s="282">
        <f>C186*$D192</f>
        <v>4.0677966101694915E-4</v>
      </c>
      <c r="E186" s="101" t="s">
        <v>613</v>
      </c>
      <c r="F186" s="101" t="s">
        <v>613</v>
      </c>
      <c r="G186" s="102">
        <v>1</v>
      </c>
      <c r="H186" s="101" t="str">
        <f>'[16]From SAM'!B29</f>
        <v xml:space="preserve">Structural metal </v>
      </c>
      <c r="I186" s="145">
        <f>IF(D186=0,"",VLOOKUP(H186,'[16]From SAM'!$B$2:$C$52,2,))</f>
        <v>0.23534870376544167</v>
      </c>
      <c r="J186" s="101" t="s">
        <v>739</v>
      </c>
      <c r="K186" s="99">
        <f t="shared" si="18"/>
        <v>1.0761099365750528</v>
      </c>
      <c r="L186" s="100">
        <f t="shared" si="19"/>
        <v>1.7912374916608576E-2</v>
      </c>
      <c r="M186" s="99">
        <f t="shared" si="20"/>
        <v>4.1406605081353571E-4</v>
      </c>
      <c r="O186" s="146" t="s">
        <v>700</v>
      </c>
      <c r="P186" s="145" t="s">
        <v>701</v>
      </c>
      <c r="Q186" s="145"/>
      <c r="R186" s="101"/>
      <c r="T186" s="146" t="s">
        <v>700</v>
      </c>
      <c r="U186" s="145" t="s">
        <v>699</v>
      </c>
      <c r="V186" s="101"/>
      <c r="W186" s="101"/>
    </row>
    <row r="187" spans="2:30" ht="16.5" outlineLevel="1" thickBot="1" x14ac:dyDescent="0.4">
      <c r="B187" s="147" t="s">
        <v>924</v>
      </c>
      <c r="C187" s="104">
        <f>38%*40%</f>
        <v>0.15200000000000002</v>
      </c>
      <c r="D187" s="282">
        <f>C187*$D192</f>
        <v>2.0610169491525427E-3</v>
      </c>
      <c r="E187" s="101" t="s">
        <v>613</v>
      </c>
      <c r="F187" s="101" t="s">
        <v>613</v>
      </c>
      <c r="G187" s="102">
        <v>1</v>
      </c>
      <c r="H187" s="101" t="str">
        <f>'[16]From SAM'!B2</f>
        <v xml:space="preserve">Labour </v>
      </c>
      <c r="I187" s="145">
        <f>IF(D187=0,"",VLOOKUP(H187,'[16]From SAM'!$B$2:$C$52,2,))</f>
        <v>1</v>
      </c>
      <c r="J187" s="101" t="s">
        <v>739</v>
      </c>
      <c r="K187" s="99">
        <f t="shared" si="18"/>
        <v>1.0761099365750528</v>
      </c>
      <c r="L187" s="100">
        <f t="shared" si="19"/>
        <v>7.6109936575052828E-2</v>
      </c>
      <c r="M187" s="99">
        <f t="shared" si="20"/>
        <v>2.2178808184326517E-3</v>
      </c>
      <c r="O187" s="146" t="s">
        <v>697</v>
      </c>
      <c r="P187" s="145" t="s">
        <v>694</v>
      </c>
      <c r="Q187" s="145"/>
      <c r="R187" s="145" t="e">
        <f>R186/R185-1</f>
        <v>#DIV/0!</v>
      </c>
      <c r="T187" s="146" t="s">
        <v>697</v>
      </c>
      <c r="U187" s="145" t="s">
        <v>694</v>
      </c>
      <c r="V187" s="145">
        <f>V186/V185-1</f>
        <v>-1</v>
      </c>
      <c r="W187" s="101"/>
    </row>
    <row r="188" spans="2:30" ht="16.5" outlineLevel="1" thickBot="1" x14ac:dyDescent="0.4">
      <c r="B188" s="147" t="s">
        <v>923</v>
      </c>
      <c r="C188" s="104">
        <f>12%*40%</f>
        <v>4.8000000000000001E-2</v>
      </c>
      <c r="D188" s="282">
        <f>C188*$D192</f>
        <v>6.5084745762711868E-4</v>
      </c>
      <c r="E188" s="101" t="s">
        <v>613</v>
      </c>
      <c r="F188" s="101" t="s">
        <v>613</v>
      </c>
      <c r="G188" s="102">
        <v>1</v>
      </c>
      <c r="H188" s="101" t="str">
        <f>'[16]From SAM'!B31</f>
        <v>Electrical machinery</v>
      </c>
      <c r="I188" s="145">
        <f>IF(D188=0,"",VLOOKUP(H188,'[16]From SAM'!$B$2:$C$52,2,))</f>
        <v>0.13001734713264965</v>
      </c>
      <c r="J188" s="101" t="s">
        <v>739</v>
      </c>
      <c r="K188" s="99">
        <f t="shared" si="18"/>
        <v>1.0761099365750528</v>
      </c>
      <c r="L188" s="100">
        <f t="shared" si="19"/>
        <v>9.8956120439226414E-3</v>
      </c>
      <c r="M188" s="99">
        <f t="shared" si="20"/>
        <v>6.5728799156757002E-4</v>
      </c>
      <c r="O188" s="146" t="s">
        <v>695</v>
      </c>
      <c r="P188" s="145" t="s">
        <v>694</v>
      </c>
      <c r="Q188" s="145"/>
      <c r="R188" s="101"/>
      <c r="T188" s="146" t="s">
        <v>695</v>
      </c>
      <c r="U188" s="145" t="s">
        <v>694</v>
      </c>
      <c r="V188" s="101"/>
      <c r="W188" s="101"/>
    </row>
    <row r="189" spans="2:30" ht="16.5" outlineLevel="1" thickBot="1" x14ac:dyDescent="0.4">
      <c r="B189" s="147" t="s">
        <v>922</v>
      </c>
      <c r="C189" s="104">
        <v>0.15</v>
      </c>
      <c r="D189" s="282">
        <f>C189*$D192</f>
        <v>2.0338983050847458E-3</v>
      </c>
      <c r="E189" s="101" t="s">
        <v>613</v>
      </c>
      <c r="F189" s="101" t="s">
        <v>613</v>
      </c>
      <c r="G189" s="102">
        <v>1</v>
      </c>
      <c r="H189" s="101" t="str">
        <f>H187</f>
        <v xml:space="preserve">Labour </v>
      </c>
      <c r="I189" s="145">
        <f>IF(D189=0,"",VLOOKUP(H189,'[16]From SAM'!$B$2:$C$52,2,))</f>
        <v>1</v>
      </c>
      <c r="J189" s="101" t="s">
        <v>739</v>
      </c>
      <c r="K189" s="99">
        <f t="shared" si="18"/>
        <v>1.0761099365750528</v>
      </c>
      <c r="L189" s="100">
        <f t="shared" si="19"/>
        <v>7.6109936575052828E-2</v>
      </c>
      <c r="M189" s="99">
        <f t="shared" si="20"/>
        <v>2.1886981760848531E-3</v>
      </c>
    </row>
    <row r="190" spans="2:30" ht="16.5" outlineLevel="1" thickBot="1" x14ac:dyDescent="0.4">
      <c r="B190" s="147" t="s">
        <v>921</v>
      </c>
      <c r="C190" s="104">
        <v>0.2</v>
      </c>
      <c r="D190" s="282">
        <f>C190*$D192</f>
        <v>2.7118644067796612E-3</v>
      </c>
      <c r="E190" s="101" t="s">
        <v>613</v>
      </c>
      <c r="F190" s="101" t="s">
        <v>613</v>
      </c>
      <c r="G190" s="102">
        <v>2</v>
      </c>
      <c r="H190" s="101"/>
      <c r="I190" s="145" t="e">
        <f>IF(D190=0,"",VLOOKUP(H190,'[16]From SAM'!$B$2:$C$52,2,))</f>
        <v>#N/A</v>
      </c>
      <c r="J190" s="101"/>
      <c r="K190" s="99" t="str">
        <f t="shared" si="18"/>
        <v/>
      </c>
      <c r="L190" s="100">
        <f t="shared" si="19"/>
        <v>4.6887176000697472E-2</v>
      </c>
      <c r="M190" s="99">
        <f>(M189+M188+M187+M186+M185+M184+M183+M182+M191)/80%-(M189+M188+M187+M186+M185+M184+M183+M182+M191)</f>
        <v>2.8390160705103664E-3</v>
      </c>
      <c r="O190" s="159" t="s">
        <v>691</v>
      </c>
      <c r="P190" s="158" t="str">
        <f>P185</f>
        <v>US$</v>
      </c>
      <c r="Q190" s="158"/>
      <c r="R190" s="158">
        <f>R185</f>
        <v>0</v>
      </c>
    </row>
    <row r="191" spans="2:30" ht="16.5" outlineLevel="1" thickBot="1" x14ac:dyDescent="0.4">
      <c r="B191" s="147" t="s">
        <v>920</v>
      </c>
      <c r="C191" s="104">
        <v>0.25</v>
      </c>
      <c r="D191" s="282">
        <f>C191*$D192</f>
        <v>3.3898305084745762E-3</v>
      </c>
      <c r="E191" s="101" t="s">
        <v>613</v>
      </c>
      <c r="F191" s="101" t="s">
        <v>613</v>
      </c>
      <c r="G191" s="102">
        <v>3</v>
      </c>
      <c r="H191" s="101" t="str">
        <f>H188</f>
        <v>Electrical machinery</v>
      </c>
      <c r="I191" s="145">
        <f>IF(D191=0,"",VLOOKUP(H191,'[16]From SAM'!$B$2:$C$52,2,))</f>
        <v>0.13001734713264965</v>
      </c>
      <c r="J191" s="101" t="s">
        <v>739</v>
      </c>
      <c r="K191" s="99">
        <f t="shared" si="18"/>
        <v>1.0761099365750528</v>
      </c>
      <c r="L191" s="100">
        <f t="shared" si="19"/>
        <v>2.9686836131767702E-2</v>
      </c>
      <c r="M191" s="99">
        <f>IF(D191=0,"",(I191*D191*K191*G191)+(D191-D191*I191*G191))</f>
        <v>3.4904638512941277E-3</v>
      </c>
      <c r="O191" s="146"/>
      <c r="P191" s="145"/>
      <c r="Q191" s="145"/>
      <c r="R191" s="145"/>
    </row>
    <row r="192" spans="2:30" s="91" customFormat="1" ht="16.5" outlineLevel="1" thickBot="1" x14ac:dyDescent="0.4">
      <c r="B192" s="157" t="s">
        <v>690</v>
      </c>
      <c r="C192" s="156">
        <f>SUM(C182:C191)</f>
        <v>1</v>
      </c>
      <c r="D192" s="281">
        <f>R193</f>
        <v>1.3559322033898305E-2</v>
      </c>
      <c r="E192" s="101"/>
      <c r="F192" s="101"/>
      <c r="G192" s="154"/>
      <c r="H192" s="153"/>
      <c r="I192" s="145"/>
      <c r="J192" s="153"/>
      <c r="K192" s="153"/>
      <c r="L192" s="152">
        <f>M192/D192-1</f>
        <v>4.6887176000697917E-2</v>
      </c>
      <c r="M192" s="151">
        <f>SUM(M182:M191)</f>
        <v>1.4195080352551835E-2</v>
      </c>
      <c r="O192" s="146" t="s">
        <v>689</v>
      </c>
      <c r="P192" s="145" t="str">
        <f>P190</f>
        <v>US$</v>
      </c>
      <c r="Q192" s="145" t="s">
        <v>919</v>
      </c>
      <c r="R192" s="145">
        <f>V185</f>
        <v>1.3559322033898305E-2</v>
      </c>
      <c r="T192" s="77"/>
      <c r="U192" s="77"/>
      <c r="V192" s="77"/>
      <c r="W192" s="77"/>
    </row>
    <row r="193" spans="2:23" ht="16.5" outlineLevel="1" thickBot="1" x14ac:dyDescent="0.4">
      <c r="B193" s="146"/>
      <c r="C193" s="148"/>
      <c r="D193" s="147" t="s">
        <v>734</v>
      </c>
      <c r="E193" s="147"/>
      <c r="F193" s="147"/>
      <c r="G193" s="147" t="s">
        <v>734</v>
      </c>
      <c r="H193" s="147"/>
      <c r="I193" s="147"/>
      <c r="J193" s="147"/>
      <c r="K193" s="147"/>
      <c r="L193" s="145"/>
      <c r="M193" s="145"/>
      <c r="O193" s="146" t="s">
        <v>686</v>
      </c>
      <c r="P193" s="145" t="str">
        <f>P192</f>
        <v>US$</v>
      </c>
      <c r="Q193" s="145"/>
      <c r="R193" s="279">
        <f>R192</f>
        <v>1.3559322033898305E-2</v>
      </c>
      <c r="S193" s="143" t="s">
        <v>685</v>
      </c>
    </row>
    <row r="195" spans="2:23" s="167" customFormat="1" x14ac:dyDescent="0.35">
      <c r="B195" s="167" t="s">
        <v>733</v>
      </c>
      <c r="C195" s="168" t="s">
        <v>918</v>
      </c>
      <c r="D195" s="169" t="s">
        <v>732</v>
      </c>
      <c r="E195" s="170"/>
      <c r="F195" s="169"/>
      <c r="G195" s="169"/>
      <c r="H195" s="169" t="s">
        <v>917</v>
      </c>
      <c r="I195" s="169"/>
      <c r="J195" s="169"/>
      <c r="K195" s="169"/>
      <c r="L195" s="169"/>
      <c r="N195" s="169" t="s">
        <v>731</v>
      </c>
      <c r="O195" s="168"/>
    </row>
    <row r="196" spans="2:23" ht="16.5" thickBot="1" x14ac:dyDescent="0.4"/>
    <row r="197" spans="2:23" s="166" customFormat="1" ht="48" thickBot="1" x14ac:dyDescent="0.25">
      <c r="B197" s="109" t="s">
        <v>639</v>
      </c>
      <c r="C197" s="110" t="s">
        <v>638</v>
      </c>
      <c r="D197" s="109" t="s">
        <v>637</v>
      </c>
      <c r="E197" s="109" t="s">
        <v>636</v>
      </c>
      <c r="F197" s="109"/>
      <c r="G197" s="109" t="s">
        <v>635</v>
      </c>
      <c r="H197" s="109" t="s">
        <v>634</v>
      </c>
      <c r="I197" s="109" t="s">
        <v>632</v>
      </c>
      <c r="J197" s="109" t="s">
        <v>631</v>
      </c>
      <c r="K197" s="109" t="s">
        <v>630</v>
      </c>
      <c r="L197" s="109" t="s">
        <v>629</v>
      </c>
      <c r="M197" s="109" t="s">
        <v>628</v>
      </c>
      <c r="O197" s="109" t="s">
        <v>730</v>
      </c>
      <c r="P197" s="109" t="s">
        <v>728</v>
      </c>
      <c r="Q197" s="109" t="s">
        <v>916</v>
      </c>
      <c r="R197" s="109" t="s">
        <v>727</v>
      </c>
      <c r="T197" s="109" t="s">
        <v>729</v>
      </c>
      <c r="U197" s="109" t="s">
        <v>728</v>
      </c>
      <c r="V197" s="109" t="s">
        <v>727</v>
      </c>
      <c r="W197" s="109" t="s">
        <v>457</v>
      </c>
    </row>
    <row r="198" spans="2:23" ht="16.5" thickBot="1" x14ac:dyDescent="0.4">
      <c r="B198" s="277" t="s">
        <v>915</v>
      </c>
      <c r="C198" s="276">
        <v>0.6</v>
      </c>
      <c r="D198" s="99">
        <f>C198*$D207</f>
        <v>3.8249430812041484E-2</v>
      </c>
      <c r="E198" s="101" t="s">
        <v>613</v>
      </c>
      <c r="F198" s="101" t="s">
        <v>613</v>
      </c>
      <c r="G198" s="102">
        <v>1</v>
      </c>
      <c r="H198" s="101" t="str">
        <f>'[16]From SAM'!B27</f>
        <v>Basic iron and steel</v>
      </c>
      <c r="I198" s="145">
        <f>IF(D198=0,"",VLOOKUP(H198,'[16]From SAM'!$B$2:$C$52,2,))</f>
        <v>9.7044444371923971E-2</v>
      </c>
      <c r="J198" s="101" t="s">
        <v>712</v>
      </c>
      <c r="K198" s="99">
        <f t="shared" ref="K198:K206" si="21">IF(J198="E",$E$33,IF(J198="C",$E$28,""))</f>
        <v>2.4354066985645932</v>
      </c>
      <c r="L198" s="100">
        <f t="shared" ref="L198:L206" si="22">IF(M198="","",M198/D198-1)</f>
        <v>0.13929824550993875</v>
      </c>
      <c r="M198" s="99">
        <f>IF(D198=0,"",(I198*D198*K198*G198)+(D198-D198*I198*G198))</f>
        <v>4.3577509415912652E-2</v>
      </c>
      <c r="O198" s="146" t="s">
        <v>724</v>
      </c>
      <c r="P198" s="145" t="s">
        <v>701</v>
      </c>
      <c r="Q198" s="145"/>
      <c r="R198" s="101"/>
      <c r="T198" s="146" t="s">
        <v>724</v>
      </c>
      <c r="U198" s="145" t="s">
        <v>701</v>
      </c>
      <c r="V198" s="101"/>
      <c r="W198" s="101"/>
    </row>
    <row r="199" spans="2:23" ht="16.5" thickBot="1" x14ac:dyDescent="0.4">
      <c r="B199" s="277" t="s">
        <v>914</v>
      </c>
      <c r="C199" s="276">
        <v>0.3</v>
      </c>
      <c r="D199" s="99">
        <f>C199*$D207</f>
        <v>1.9124715406020742E-2</v>
      </c>
      <c r="E199" s="101" t="s">
        <v>612</v>
      </c>
      <c r="F199" s="101" t="s">
        <v>613</v>
      </c>
      <c r="G199" s="102"/>
      <c r="H199" s="101"/>
      <c r="I199" s="145"/>
      <c r="J199" s="101"/>
      <c r="K199" s="99" t="str">
        <f t="shared" si="21"/>
        <v/>
      </c>
      <c r="L199" s="100">
        <f t="shared" si="22"/>
        <v>0.1166666666666667</v>
      </c>
      <c r="M199" s="99">
        <f>D199*(1+C23)</f>
        <v>2.135593220338983E-2</v>
      </c>
      <c r="O199" s="146" t="s">
        <v>718</v>
      </c>
      <c r="P199" s="145" t="s">
        <v>719</v>
      </c>
      <c r="Q199" s="145"/>
      <c r="R199" s="101"/>
      <c r="T199" s="146" t="s">
        <v>718</v>
      </c>
      <c r="U199" s="145" t="s">
        <v>701</v>
      </c>
      <c r="V199" s="101"/>
      <c r="W199" s="101"/>
    </row>
    <row r="200" spans="2:23" ht="16.5" thickBot="1" x14ac:dyDescent="0.4">
      <c r="B200" s="277" t="s">
        <v>913</v>
      </c>
      <c r="C200" s="276">
        <v>0.05</v>
      </c>
      <c r="D200" s="99">
        <f>C200*$D207</f>
        <v>3.1874525676701239E-3</v>
      </c>
      <c r="E200" s="101" t="s">
        <v>613</v>
      </c>
      <c r="F200" s="101" t="s">
        <v>613</v>
      </c>
      <c r="G200" s="102">
        <v>1</v>
      </c>
      <c r="H200" s="101" t="str">
        <f>'[16]From SAM'!B27</f>
        <v>Basic iron and steel</v>
      </c>
      <c r="I200" s="145">
        <f>IF(D200=0,"",VLOOKUP(H200,'[16]From SAM'!$B$2:$C$52,2,))</f>
        <v>9.7044444371923971E-2</v>
      </c>
      <c r="J200" s="101" t="s">
        <v>712</v>
      </c>
      <c r="K200" s="99">
        <f t="shared" si="21"/>
        <v>2.4354066985645932</v>
      </c>
      <c r="L200" s="100">
        <f t="shared" si="22"/>
        <v>0.13929824550993875</v>
      </c>
      <c r="M200" s="99">
        <f t="shared" ref="M200:M206" si="23">IF(D200=0,"",(I200*D200*K200*G200)+(D200-D200*I200*G200))</f>
        <v>3.6314591179927216E-3</v>
      </c>
      <c r="O200" s="146" t="s">
        <v>711</v>
      </c>
      <c r="P200" s="145" t="s">
        <v>710</v>
      </c>
      <c r="Q200" s="145"/>
      <c r="R200" s="101"/>
      <c r="T200" s="146" t="s">
        <v>711</v>
      </c>
      <c r="U200" s="145" t="s">
        <v>710</v>
      </c>
      <c r="V200" s="101"/>
      <c r="W200" s="101"/>
    </row>
    <row r="201" spans="2:23" ht="16.5" thickBot="1" x14ac:dyDescent="0.4">
      <c r="B201" s="277" t="s">
        <v>912</v>
      </c>
      <c r="C201" s="276">
        <v>0.05</v>
      </c>
      <c r="D201" s="99">
        <f>C201*$D207</f>
        <v>3.1874525676701239E-3</v>
      </c>
      <c r="E201" s="101" t="s">
        <v>613</v>
      </c>
      <c r="F201" s="101" t="s">
        <v>613</v>
      </c>
      <c r="G201" s="102">
        <v>1</v>
      </c>
      <c r="H201" s="101" t="str">
        <f>'[16]From SAM'!B2</f>
        <v xml:space="preserve">Labour </v>
      </c>
      <c r="I201" s="145">
        <f>IF(D201=0,"",VLOOKUP(H201,'[16]From SAM'!$B$2:$C$52,2,))</f>
        <v>1</v>
      </c>
      <c r="J201" s="101" t="s">
        <v>712</v>
      </c>
      <c r="K201" s="99">
        <f t="shared" si="21"/>
        <v>2.4354066985645932</v>
      </c>
      <c r="L201" s="100">
        <f t="shared" si="22"/>
        <v>1.4354066985645932</v>
      </c>
      <c r="M201" s="99">
        <f t="shared" si="23"/>
        <v>7.7627433346607322E-3</v>
      </c>
      <c r="O201" s="146" t="s">
        <v>707</v>
      </c>
      <c r="P201" s="145" t="s">
        <v>701</v>
      </c>
      <c r="Q201" s="145"/>
      <c r="R201" s="101"/>
      <c r="T201" s="146" t="s">
        <v>707</v>
      </c>
      <c r="U201" s="145" t="s">
        <v>701</v>
      </c>
      <c r="V201" s="280">
        <f>D73</f>
        <v>7.1186440677966104E-2</v>
      </c>
      <c r="W201" s="101"/>
    </row>
    <row r="202" spans="2:23" ht="16.5" thickBot="1" x14ac:dyDescent="0.4">
      <c r="B202" s="147"/>
      <c r="C202" s="104"/>
      <c r="D202" s="99">
        <f>C202*$D207</f>
        <v>0</v>
      </c>
      <c r="E202" s="101"/>
      <c r="F202" s="101"/>
      <c r="G202" s="102"/>
      <c r="H202" s="101"/>
      <c r="I202" s="145" t="str">
        <f>IF(D202=0,"",VLOOKUP(H202,'[16]From SAM'!$B$2:$C$52,2,))</f>
        <v/>
      </c>
      <c r="J202" s="101"/>
      <c r="K202" s="99" t="str">
        <f t="shared" si="21"/>
        <v/>
      </c>
      <c r="L202" s="100" t="str">
        <f t="shared" si="22"/>
        <v/>
      </c>
      <c r="M202" s="99" t="str">
        <f t="shared" si="23"/>
        <v/>
      </c>
      <c r="O202" s="146" t="s">
        <v>700</v>
      </c>
      <c r="P202" s="145" t="s">
        <v>701</v>
      </c>
      <c r="Q202" s="145"/>
      <c r="R202" s="101"/>
      <c r="T202" s="146" t="s">
        <v>700</v>
      </c>
      <c r="U202" s="145" t="s">
        <v>699</v>
      </c>
      <c r="V202" s="101"/>
      <c r="W202" s="101"/>
    </row>
    <row r="203" spans="2:23" ht="16.5" thickBot="1" x14ac:dyDescent="0.4">
      <c r="B203" s="147"/>
      <c r="C203" s="104"/>
      <c r="D203" s="99">
        <f>C203*$D207</f>
        <v>0</v>
      </c>
      <c r="E203" s="101"/>
      <c r="F203" s="101"/>
      <c r="G203" s="102"/>
      <c r="H203" s="101"/>
      <c r="I203" s="145" t="str">
        <f>IF(D203=0,"",VLOOKUP(H203,'[16]From SAM'!$B$2:$C$52,2,))</f>
        <v/>
      </c>
      <c r="J203" s="101"/>
      <c r="K203" s="99" t="str">
        <f t="shared" si="21"/>
        <v/>
      </c>
      <c r="L203" s="100" t="str">
        <f t="shared" si="22"/>
        <v/>
      </c>
      <c r="M203" s="99" t="str">
        <f t="shared" si="23"/>
        <v/>
      </c>
      <c r="O203" s="146" t="s">
        <v>697</v>
      </c>
      <c r="P203" s="145" t="s">
        <v>694</v>
      </c>
      <c r="Q203" s="145"/>
      <c r="R203" s="145" t="e">
        <f>R202/R201-1</f>
        <v>#DIV/0!</v>
      </c>
      <c r="T203" s="146" t="s">
        <v>697</v>
      </c>
      <c r="U203" s="145" t="s">
        <v>694</v>
      </c>
      <c r="V203" s="145">
        <f>V202/V201-1</f>
        <v>-1</v>
      </c>
      <c r="W203" s="101"/>
    </row>
    <row r="204" spans="2:23" ht="16.5" thickBot="1" x14ac:dyDescent="0.4">
      <c r="B204" s="147"/>
      <c r="C204" s="104"/>
      <c r="D204" s="99">
        <f>C204*$D207</f>
        <v>0</v>
      </c>
      <c r="E204" s="101"/>
      <c r="F204" s="101"/>
      <c r="G204" s="102"/>
      <c r="H204" s="101"/>
      <c r="I204" s="145" t="str">
        <f>IF(D204=0,"",VLOOKUP(H204,'[16]From SAM'!$B$2:$C$52,2,))</f>
        <v/>
      </c>
      <c r="J204" s="101"/>
      <c r="K204" s="99" t="str">
        <f t="shared" si="21"/>
        <v/>
      </c>
      <c r="L204" s="100" t="str">
        <f t="shared" si="22"/>
        <v/>
      </c>
      <c r="M204" s="99" t="str">
        <f t="shared" si="23"/>
        <v/>
      </c>
      <c r="O204" s="146" t="s">
        <v>695</v>
      </c>
      <c r="P204" s="145" t="s">
        <v>694</v>
      </c>
      <c r="Q204" s="145"/>
      <c r="R204" s="101"/>
      <c r="T204" s="146" t="s">
        <v>695</v>
      </c>
      <c r="U204" s="145" t="s">
        <v>694</v>
      </c>
      <c r="V204" s="101"/>
      <c r="W204" s="101"/>
    </row>
    <row r="205" spans="2:23" ht="16.5" thickBot="1" x14ac:dyDescent="0.4">
      <c r="B205" s="147"/>
      <c r="C205" s="104"/>
      <c r="D205" s="99">
        <f>C205*$D207</f>
        <v>0</v>
      </c>
      <c r="E205" s="101"/>
      <c r="F205" s="101"/>
      <c r="G205" s="102"/>
      <c r="H205" s="101"/>
      <c r="I205" s="145" t="str">
        <f>IF(D205=0,"",VLOOKUP(H205,'[16]From SAM'!$B$2:$C$52,2,))</f>
        <v/>
      </c>
      <c r="J205" s="101"/>
      <c r="K205" s="99" t="str">
        <f t="shared" si="21"/>
        <v/>
      </c>
      <c r="L205" s="100" t="str">
        <f t="shared" si="22"/>
        <v/>
      </c>
      <c r="M205" s="99" t="str">
        <f t="shared" si="23"/>
        <v/>
      </c>
    </row>
    <row r="206" spans="2:23" ht="16.5" thickBot="1" x14ac:dyDescent="0.4">
      <c r="B206" s="147"/>
      <c r="C206" s="104"/>
      <c r="D206" s="99">
        <f>C206*$D207</f>
        <v>0</v>
      </c>
      <c r="E206" s="101"/>
      <c r="F206" s="101"/>
      <c r="G206" s="102"/>
      <c r="H206" s="101"/>
      <c r="I206" s="145" t="str">
        <f>IF(D206=0,"",VLOOKUP(H206,'[16]From SAM'!$B$2:$C$52,2,))</f>
        <v/>
      </c>
      <c r="J206" s="101"/>
      <c r="K206" s="99" t="str">
        <f t="shared" si="21"/>
        <v/>
      </c>
      <c r="L206" s="100" t="str">
        <f t="shared" si="22"/>
        <v/>
      </c>
      <c r="M206" s="99" t="str">
        <f t="shared" si="23"/>
        <v/>
      </c>
      <c r="O206" s="159" t="s">
        <v>691</v>
      </c>
      <c r="P206" s="158" t="str">
        <f>P201</f>
        <v>US$</v>
      </c>
      <c r="Q206" s="158"/>
      <c r="R206" s="158">
        <f>R201</f>
        <v>0</v>
      </c>
    </row>
    <row r="207" spans="2:23" s="91" customFormat="1" ht="16.5" thickBot="1" x14ac:dyDescent="0.4">
      <c r="B207" s="157" t="s">
        <v>690</v>
      </c>
      <c r="C207" s="156">
        <f>SUM(C198:C206)</f>
        <v>1</v>
      </c>
      <c r="D207" s="151">
        <f>R208</f>
        <v>6.3749051353402475E-2</v>
      </c>
      <c r="E207" s="101"/>
      <c r="F207" s="101"/>
      <c r="G207" s="154"/>
      <c r="H207" s="153"/>
      <c r="I207" s="145"/>
      <c r="J207" s="153"/>
      <c r="K207" s="153"/>
      <c r="L207" s="152">
        <f>M207/D207-1</f>
        <v>0.19731419450968968</v>
      </c>
      <c r="M207" s="151">
        <f>SUM(M198:M206)</f>
        <v>7.6327644071955927E-2</v>
      </c>
      <c r="O207" s="146" t="s">
        <v>689</v>
      </c>
      <c r="P207" s="145" t="str">
        <f>P206</f>
        <v>US$</v>
      </c>
      <c r="Q207" s="145"/>
      <c r="R207" s="145">
        <f>V201</f>
        <v>7.1186440677966104E-2</v>
      </c>
      <c r="T207" s="77"/>
      <c r="U207" s="77"/>
      <c r="V207" s="77"/>
      <c r="W207" s="77"/>
    </row>
    <row r="208" spans="2:23" ht="16.5" thickBot="1" x14ac:dyDescent="0.4">
      <c r="B208" s="146"/>
      <c r="C208" s="148"/>
      <c r="D208" s="147" t="s">
        <v>734</v>
      </c>
      <c r="E208" s="147"/>
      <c r="F208" s="147"/>
      <c r="G208" s="147" t="s">
        <v>734</v>
      </c>
      <c r="H208" s="147"/>
      <c r="I208" s="147"/>
      <c r="J208" s="147"/>
      <c r="K208" s="147"/>
      <c r="L208" s="145"/>
      <c r="M208" s="145"/>
      <c r="O208" s="146" t="s">
        <v>686</v>
      </c>
      <c r="P208" s="145" t="str">
        <f>P207</f>
        <v>US$</v>
      </c>
      <c r="Q208" s="145"/>
      <c r="R208" s="279">
        <f>R207/(1+$C$23)</f>
        <v>6.3749051353402475E-2</v>
      </c>
      <c r="S208" s="143" t="s">
        <v>911</v>
      </c>
    </row>
    <row r="219" spans="1:15" ht="27.75" x14ac:dyDescent="0.55000000000000004">
      <c r="B219" s="114" t="s">
        <v>646</v>
      </c>
    </row>
    <row r="220" spans="1:15" x14ac:dyDescent="0.35">
      <c r="B220" s="77" t="s">
        <v>645</v>
      </c>
    </row>
    <row r="222" spans="1:15" ht="16.5" thickBot="1" x14ac:dyDescent="0.4"/>
    <row r="223" spans="1:15" ht="48" thickBot="1" x14ac:dyDescent="0.4">
      <c r="A223" s="91"/>
      <c r="B223" s="109" t="s">
        <v>639</v>
      </c>
      <c r="C223" s="110" t="s">
        <v>638</v>
      </c>
      <c r="D223" s="109" t="s">
        <v>637</v>
      </c>
      <c r="E223" s="109" t="s">
        <v>636</v>
      </c>
      <c r="F223" s="109"/>
      <c r="G223" s="109" t="s">
        <v>635</v>
      </c>
      <c r="H223" s="109" t="s">
        <v>634</v>
      </c>
      <c r="I223" s="109" t="s">
        <v>632</v>
      </c>
      <c r="J223" s="109" t="s">
        <v>631</v>
      </c>
      <c r="K223" s="109" t="s">
        <v>630</v>
      </c>
      <c r="L223" s="109" t="s">
        <v>629</v>
      </c>
      <c r="M223" s="109" t="s">
        <v>628</v>
      </c>
      <c r="N223" s="77" t="s">
        <v>910</v>
      </c>
      <c r="O223" s="77" t="s">
        <v>909</v>
      </c>
    </row>
    <row r="224" spans="1:15" ht="16.5" thickBot="1" x14ac:dyDescent="0.4">
      <c r="A224" s="91" t="str">
        <f>C79</f>
        <v>Solar cell</v>
      </c>
      <c r="B224" s="277" t="str">
        <f t="shared" ref="B224:G227" si="24">B82</f>
        <v>Silicon</v>
      </c>
      <c r="C224" s="276">
        <f t="shared" si="24"/>
        <v>0.22499999999999998</v>
      </c>
      <c r="D224" s="99">
        <f t="shared" si="24"/>
        <v>3.2624999999999994E-2</v>
      </c>
      <c r="E224" s="101" t="str">
        <f t="shared" si="24"/>
        <v>N</v>
      </c>
      <c r="F224" s="101" t="str">
        <f t="shared" si="24"/>
        <v>Y</v>
      </c>
      <c r="G224" s="102">
        <f t="shared" si="24"/>
        <v>0</v>
      </c>
      <c r="H224" s="164" t="s">
        <v>892</v>
      </c>
      <c r="I224" s="145" t="str">
        <f t="shared" ref="I224:M227" si="25">I82</f>
        <v/>
      </c>
      <c r="J224" s="101">
        <f t="shared" si="25"/>
        <v>0</v>
      </c>
      <c r="K224" s="99" t="str">
        <f t="shared" si="25"/>
        <v/>
      </c>
      <c r="L224" s="100">
        <f t="shared" si="25"/>
        <v>0.1166666666666667</v>
      </c>
      <c r="M224" s="99">
        <f t="shared" si="25"/>
        <v>3.6431249999999991E-2</v>
      </c>
      <c r="N224" s="77" t="s">
        <v>892</v>
      </c>
    </row>
    <row r="225" spans="1:16" ht="16.5" thickBot="1" x14ac:dyDescent="0.4">
      <c r="A225" s="91"/>
      <c r="B225" s="277" t="str">
        <f t="shared" si="24"/>
        <v>Wafer processing</v>
      </c>
      <c r="C225" s="276">
        <f t="shared" si="24"/>
        <v>0.36874999999999997</v>
      </c>
      <c r="D225" s="99">
        <f t="shared" si="24"/>
        <v>5.3468749999999989E-2</v>
      </c>
      <c r="E225" s="101" t="str">
        <f t="shared" si="24"/>
        <v>Y</v>
      </c>
      <c r="F225" s="101" t="str">
        <f t="shared" si="24"/>
        <v>N</v>
      </c>
      <c r="G225" s="102">
        <f t="shared" si="24"/>
        <v>1</v>
      </c>
      <c r="H225" s="164" t="s">
        <v>892</v>
      </c>
      <c r="I225" s="145">
        <f t="shared" si="25"/>
        <v>9.7535709521338151E-2</v>
      </c>
      <c r="J225" s="101">
        <f t="shared" si="25"/>
        <v>0</v>
      </c>
      <c r="K225" s="99" t="str">
        <f t="shared" si="25"/>
        <v/>
      </c>
      <c r="L225" s="100">
        <f t="shared" si="25"/>
        <v>0</v>
      </c>
      <c r="M225" s="99">
        <f t="shared" si="25"/>
        <v>5.3468749999999989E-2</v>
      </c>
      <c r="N225" s="77" t="s">
        <v>892</v>
      </c>
      <c r="O225" s="77" t="s">
        <v>908</v>
      </c>
    </row>
    <row r="226" spans="1:16" ht="16.5" thickBot="1" x14ac:dyDescent="0.4">
      <c r="A226" s="91"/>
      <c r="B226" s="277" t="str">
        <f t="shared" si="24"/>
        <v>Metalzation</v>
      </c>
      <c r="C226" s="276">
        <f t="shared" si="24"/>
        <v>0.10625000000000001</v>
      </c>
      <c r="D226" s="99">
        <f t="shared" si="24"/>
        <v>1.540625E-2</v>
      </c>
      <c r="E226" s="101" t="str">
        <f t="shared" si="24"/>
        <v>Y</v>
      </c>
      <c r="F226" s="101" t="str">
        <f t="shared" si="24"/>
        <v>N</v>
      </c>
      <c r="G226" s="102">
        <f t="shared" si="24"/>
        <v>1</v>
      </c>
      <c r="H226" s="164" t="s">
        <v>892</v>
      </c>
      <c r="I226" s="145">
        <f t="shared" si="25"/>
        <v>9.7535709521338151E-2</v>
      </c>
      <c r="J226" s="101">
        <f t="shared" si="25"/>
        <v>0</v>
      </c>
      <c r="K226" s="99" t="str">
        <f t="shared" si="25"/>
        <v/>
      </c>
      <c r="L226" s="100">
        <f t="shared" si="25"/>
        <v>0</v>
      </c>
      <c r="M226" s="99">
        <f t="shared" si="25"/>
        <v>1.540625E-2</v>
      </c>
      <c r="N226" s="77" t="s">
        <v>892</v>
      </c>
    </row>
    <row r="227" spans="1:16" ht="16.5" thickBot="1" x14ac:dyDescent="0.4">
      <c r="A227" s="91"/>
      <c r="B227" s="277" t="str">
        <f t="shared" si="24"/>
        <v xml:space="preserve">remaining cost </v>
      </c>
      <c r="C227" s="276">
        <f t="shared" si="24"/>
        <v>0.3</v>
      </c>
      <c r="D227" s="99">
        <f t="shared" si="24"/>
        <v>4.3499999999999997E-2</v>
      </c>
      <c r="E227" s="101" t="str">
        <f t="shared" si="24"/>
        <v>Y</v>
      </c>
      <c r="F227" s="101" t="str">
        <f t="shared" si="24"/>
        <v>Y</v>
      </c>
      <c r="G227" s="102">
        <f t="shared" si="24"/>
        <v>1</v>
      </c>
      <c r="H227" s="101" t="str">
        <f>H85</f>
        <v xml:space="preserve">Labour </v>
      </c>
      <c r="I227" s="145">
        <f t="shared" si="25"/>
        <v>1</v>
      </c>
      <c r="J227" s="101" t="str">
        <f t="shared" si="25"/>
        <v>C</v>
      </c>
      <c r="K227" s="99">
        <f t="shared" si="25"/>
        <v>2.4354066985645932</v>
      </c>
      <c r="L227" s="100">
        <f t="shared" si="25"/>
        <v>1.4354066985645932</v>
      </c>
      <c r="M227" s="99">
        <f t="shared" si="25"/>
        <v>0.10594019138755979</v>
      </c>
    </row>
    <row r="228" spans="1:16" ht="16.5" thickBot="1" x14ac:dyDescent="0.4">
      <c r="A228" s="91" t="str">
        <f>C94</f>
        <v>PV module - using locally produced cell</v>
      </c>
    </row>
    <row r="229" spans="1:16" ht="16.5" thickBot="1" x14ac:dyDescent="0.4">
      <c r="A229" s="91"/>
      <c r="B229" s="277" t="str">
        <f t="shared" ref="B229:L229" si="26">B97</f>
        <v>Silicon cell</v>
      </c>
      <c r="C229" s="276">
        <f t="shared" si="26"/>
        <v>0.53398058252427183</v>
      </c>
      <c r="D229" s="99">
        <f t="shared" si="26"/>
        <v>0.12281553398058252</v>
      </c>
      <c r="E229" s="101" t="str">
        <f t="shared" si="26"/>
        <v>N</v>
      </c>
      <c r="F229" s="101" t="str">
        <f t="shared" si="26"/>
        <v>Y</v>
      </c>
      <c r="G229" s="102">
        <f t="shared" si="26"/>
        <v>0</v>
      </c>
      <c r="H229" s="101">
        <f t="shared" si="26"/>
        <v>0</v>
      </c>
      <c r="I229" s="145">
        <f t="shared" si="26"/>
        <v>0</v>
      </c>
      <c r="J229" s="101">
        <f t="shared" si="26"/>
        <v>0</v>
      </c>
      <c r="K229" s="99">
        <f t="shared" si="26"/>
        <v>0</v>
      </c>
      <c r="L229" s="100">
        <f t="shared" si="26"/>
        <v>0.72003031327420208</v>
      </c>
      <c r="M229" s="99">
        <f>M97*N229</f>
        <v>0</v>
      </c>
      <c r="O229" s="77" t="s">
        <v>907</v>
      </c>
    </row>
    <row r="230" spans="1:16" ht="16.5" thickBot="1" x14ac:dyDescent="0.4">
      <c r="A230" s="91"/>
      <c r="B230" s="277" t="str">
        <f t="shared" ref="B230:L230" si="27">B98</f>
        <v>Glass</v>
      </c>
      <c r="C230" s="276">
        <f t="shared" si="27"/>
        <v>6.7961165048543687E-2</v>
      </c>
      <c r="D230" s="99">
        <f t="shared" si="27"/>
        <v>1.5631067961165049E-2</v>
      </c>
      <c r="E230" s="101" t="str">
        <f t="shared" si="27"/>
        <v>Y</v>
      </c>
      <c r="F230" s="101" t="str">
        <f t="shared" si="27"/>
        <v>Y</v>
      </c>
      <c r="G230" s="102">
        <f t="shared" si="27"/>
        <v>1</v>
      </c>
      <c r="H230" s="101" t="str">
        <f t="shared" si="27"/>
        <v>Electrical machinery</v>
      </c>
      <c r="I230" s="145">
        <f t="shared" si="27"/>
        <v>0.13001734713264965</v>
      </c>
      <c r="J230" s="101" t="str">
        <f t="shared" si="27"/>
        <v>C</v>
      </c>
      <c r="K230" s="99">
        <f t="shared" si="27"/>
        <v>2.4354066985645932</v>
      </c>
      <c r="L230" s="100">
        <f t="shared" si="27"/>
        <v>0.18662777100380334</v>
      </c>
      <c r="M230" s="99">
        <f t="shared" ref="M230:M236" si="28">M98</f>
        <v>1.8548259333166246E-2</v>
      </c>
    </row>
    <row r="231" spans="1:16" ht="16.5" thickBot="1" x14ac:dyDescent="0.4">
      <c r="A231" s="91"/>
      <c r="B231" s="277" t="str">
        <f t="shared" ref="B231:G236" si="29">B99</f>
        <v>Al frame</v>
      </c>
      <c r="C231" s="276">
        <f t="shared" si="29"/>
        <v>5.8252427184466021E-2</v>
      </c>
      <c r="D231" s="99">
        <f t="shared" si="29"/>
        <v>1.3398058252427186E-2</v>
      </c>
      <c r="E231" s="101" t="str">
        <f t="shared" si="29"/>
        <v>Y</v>
      </c>
      <c r="F231" s="101" t="str">
        <f t="shared" si="29"/>
        <v>Y</v>
      </c>
      <c r="G231" s="102">
        <f t="shared" si="29"/>
        <v>0.65</v>
      </c>
      <c r="H231" s="164" t="s">
        <v>877</v>
      </c>
      <c r="I231" s="145">
        <f t="shared" ref="I231:L236" si="30">I99</f>
        <v>0.23534870376544167</v>
      </c>
      <c r="J231" s="101" t="str">
        <f t="shared" si="30"/>
        <v>C</v>
      </c>
      <c r="K231" s="99">
        <f t="shared" si="30"/>
        <v>2.4354066985645932</v>
      </c>
      <c r="L231" s="100">
        <f t="shared" si="30"/>
        <v>0.21958371882421579</v>
      </c>
      <c r="M231" s="99">
        <f t="shared" si="28"/>
        <v>1.6340053708518622E-2</v>
      </c>
      <c r="N231" s="278" t="s">
        <v>877</v>
      </c>
      <c r="O231" s="278" t="s">
        <v>906</v>
      </c>
    </row>
    <row r="232" spans="1:16" ht="16.5" thickBot="1" x14ac:dyDescent="0.4">
      <c r="A232" s="91"/>
      <c r="B232" s="277" t="str">
        <f t="shared" si="29"/>
        <v>EVA</v>
      </c>
      <c r="C232" s="276">
        <f t="shared" si="29"/>
        <v>4.8543689320388349E-2</v>
      </c>
      <c r="D232" s="99">
        <f t="shared" si="29"/>
        <v>1.1165048543689321E-2</v>
      </c>
      <c r="E232" s="101" t="str">
        <f t="shared" si="29"/>
        <v>N</v>
      </c>
      <c r="F232" s="101">
        <f t="shared" si="29"/>
        <v>0</v>
      </c>
      <c r="G232" s="102">
        <f t="shared" si="29"/>
        <v>0</v>
      </c>
      <c r="H232" s="164" t="s">
        <v>892</v>
      </c>
      <c r="I232" s="145">
        <f t="shared" si="30"/>
        <v>0</v>
      </c>
      <c r="J232" s="101">
        <f t="shared" si="30"/>
        <v>0</v>
      </c>
      <c r="K232" s="99">
        <f t="shared" si="30"/>
        <v>0</v>
      </c>
      <c r="L232" s="100">
        <f t="shared" si="30"/>
        <v>0.1166666666666667</v>
      </c>
      <c r="M232" s="99">
        <f t="shared" si="28"/>
        <v>1.2467637540453077E-2</v>
      </c>
      <c r="N232" s="77" t="s">
        <v>892</v>
      </c>
      <c r="O232" s="77" t="s">
        <v>905</v>
      </c>
      <c r="P232" s="77" t="s">
        <v>904</v>
      </c>
    </row>
    <row r="233" spans="1:16" ht="16.5" thickBot="1" x14ac:dyDescent="0.4">
      <c r="A233" s="91"/>
      <c r="B233" s="277" t="str">
        <f t="shared" si="29"/>
        <v>Backsheets</v>
      </c>
      <c r="C233" s="276">
        <f t="shared" si="29"/>
        <v>3.8834951456310676E-2</v>
      </c>
      <c r="D233" s="99">
        <f t="shared" si="29"/>
        <v>8.9320388349514567E-3</v>
      </c>
      <c r="E233" s="101" t="str">
        <f t="shared" si="29"/>
        <v>N</v>
      </c>
      <c r="F233" s="101">
        <f t="shared" si="29"/>
        <v>0</v>
      </c>
      <c r="G233" s="102">
        <f t="shared" si="29"/>
        <v>0</v>
      </c>
      <c r="H233" s="164" t="s">
        <v>892</v>
      </c>
      <c r="I233" s="145">
        <f t="shared" si="30"/>
        <v>0</v>
      </c>
      <c r="J233" s="101">
        <f t="shared" si="30"/>
        <v>0</v>
      </c>
      <c r="K233" s="99">
        <f t="shared" si="30"/>
        <v>0</v>
      </c>
      <c r="L233" s="100">
        <f t="shared" si="30"/>
        <v>0.1166666666666667</v>
      </c>
      <c r="M233" s="99">
        <f t="shared" si="28"/>
        <v>9.9741100323624595E-3</v>
      </c>
      <c r="N233" s="77" t="s">
        <v>892</v>
      </c>
      <c r="O233" s="77" t="s">
        <v>903</v>
      </c>
    </row>
    <row r="234" spans="1:16" ht="16.5" thickBot="1" x14ac:dyDescent="0.4">
      <c r="A234" s="91"/>
      <c r="B234" s="277" t="str">
        <f t="shared" si="29"/>
        <v>Tabbing</v>
      </c>
      <c r="C234" s="276">
        <f t="shared" si="29"/>
        <v>3.8834951456310676E-2</v>
      </c>
      <c r="D234" s="99">
        <f t="shared" si="29"/>
        <v>8.9320388349514567E-3</v>
      </c>
      <c r="E234" s="101" t="str">
        <f t="shared" si="29"/>
        <v>N</v>
      </c>
      <c r="F234" s="101">
        <f t="shared" si="29"/>
        <v>0</v>
      </c>
      <c r="G234" s="102">
        <f t="shared" si="29"/>
        <v>0</v>
      </c>
      <c r="H234" s="164" t="s">
        <v>892</v>
      </c>
      <c r="I234" s="145">
        <f t="shared" si="30"/>
        <v>0</v>
      </c>
      <c r="J234" s="101">
        <f t="shared" si="30"/>
        <v>0</v>
      </c>
      <c r="K234" s="99">
        <f t="shared" si="30"/>
        <v>0</v>
      </c>
      <c r="L234" s="100">
        <f t="shared" si="30"/>
        <v>0.1166666666666667</v>
      </c>
      <c r="M234" s="99">
        <f t="shared" si="28"/>
        <v>9.9741100323624595E-3</v>
      </c>
      <c r="N234" s="77" t="s">
        <v>892</v>
      </c>
      <c r="O234" s="77" t="s">
        <v>902</v>
      </c>
      <c r="P234" s="77" t="s">
        <v>901</v>
      </c>
    </row>
    <row r="235" spans="1:16" ht="16.5" thickBot="1" x14ac:dyDescent="0.4">
      <c r="A235" s="91"/>
      <c r="B235" s="277" t="str">
        <f t="shared" si="29"/>
        <v>Junction box</v>
      </c>
      <c r="C235" s="276">
        <f t="shared" si="29"/>
        <v>3.8834951456310676E-2</v>
      </c>
      <c r="D235" s="99">
        <f t="shared" si="29"/>
        <v>8.9320388349514567E-3</v>
      </c>
      <c r="E235" s="101" t="str">
        <f t="shared" si="29"/>
        <v>Y</v>
      </c>
      <c r="F235" s="101" t="str">
        <f t="shared" si="29"/>
        <v>Y</v>
      </c>
      <c r="G235" s="102">
        <f t="shared" si="29"/>
        <v>1</v>
      </c>
      <c r="H235" s="101" t="str">
        <f>H103</f>
        <v>Electrical machinery</v>
      </c>
      <c r="I235" s="145">
        <f t="shared" si="30"/>
        <v>0.13001734713264965</v>
      </c>
      <c r="J235" s="101" t="str">
        <f t="shared" si="30"/>
        <v>C</v>
      </c>
      <c r="K235" s="99">
        <f t="shared" si="30"/>
        <v>2.4354066985645932</v>
      </c>
      <c r="L235" s="100">
        <f t="shared" si="30"/>
        <v>0.18662777100380334</v>
      </c>
      <c r="M235" s="99">
        <f t="shared" si="28"/>
        <v>1.0599005333237856E-2</v>
      </c>
    </row>
    <row r="236" spans="1:16" ht="16.5" thickBot="1" x14ac:dyDescent="0.4">
      <c r="A236" s="91"/>
      <c r="B236" s="277" t="str">
        <f t="shared" si="29"/>
        <v xml:space="preserve">Non material costs </v>
      </c>
      <c r="C236" s="276">
        <f t="shared" si="29"/>
        <v>0.17475728155339806</v>
      </c>
      <c r="D236" s="99">
        <f t="shared" si="29"/>
        <v>4.0194174757281556E-2</v>
      </c>
      <c r="E236" s="101" t="str">
        <f t="shared" si="29"/>
        <v>Y</v>
      </c>
      <c r="F236" s="101" t="str">
        <f t="shared" si="29"/>
        <v>Y</v>
      </c>
      <c r="G236" s="102">
        <f t="shared" si="29"/>
        <v>1</v>
      </c>
      <c r="H236" s="101" t="str">
        <f>H104</f>
        <v xml:space="preserve">Labour </v>
      </c>
      <c r="I236" s="145">
        <f t="shared" si="30"/>
        <v>1</v>
      </c>
      <c r="J236" s="101" t="str">
        <f t="shared" si="30"/>
        <v>C</v>
      </c>
      <c r="K236" s="99">
        <f t="shared" si="30"/>
        <v>2.4354066985645932</v>
      </c>
      <c r="L236" s="100">
        <f t="shared" si="30"/>
        <v>1.4354066985645932</v>
      </c>
      <c r="M236" s="99">
        <f t="shared" si="28"/>
        <v>9.7889162447159381E-2</v>
      </c>
    </row>
    <row r="237" spans="1:16" ht="16.5" thickBot="1" x14ac:dyDescent="0.4">
      <c r="A237" s="91" t="str">
        <f>SAREM_PV!C110</f>
        <v>PV module - using imported cell</v>
      </c>
    </row>
    <row r="238" spans="1:16" ht="16.5" thickBot="1" x14ac:dyDescent="0.4">
      <c r="A238" s="91"/>
      <c r="B238" s="277" t="str">
        <f t="shared" ref="B238:G245" si="31">B113</f>
        <v>Silicon cell</v>
      </c>
      <c r="C238" s="276">
        <f t="shared" si="31"/>
        <v>0.53398058252427183</v>
      </c>
      <c r="D238" s="99">
        <f t="shared" si="31"/>
        <v>0.12281553398058252</v>
      </c>
      <c r="E238" s="101" t="str">
        <f t="shared" si="31"/>
        <v>N</v>
      </c>
      <c r="F238" s="101" t="str">
        <f t="shared" si="31"/>
        <v>Y</v>
      </c>
      <c r="G238" s="102">
        <f t="shared" si="31"/>
        <v>0</v>
      </c>
      <c r="H238" s="164" t="s">
        <v>892</v>
      </c>
      <c r="I238" s="145">
        <f t="shared" ref="I238:M245" si="32">I113</f>
        <v>0</v>
      </c>
      <c r="J238" s="101">
        <f t="shared" si="32"/>
        <v>0</v>
      </c>
      <c r="K238" s="99">
        <f t="shared" si="32"/>
        <v>0</v>
      </c>
      <c r="L238" s="100">
        <f t="shared" si="32"/>
        <v>0.31837285902503276</v>
      </c>
      <c r="M238" s="99">
        <f t="shared" si="32"/>
        <v>0.16191666666666665</v>
      </c>
      <c r="O238" s="77" t="s">
        <v>900</v>
      </c>
    </row>
    <row r="239" spans="1:16" ht="16.5" thickBot="1" x14ac:dyDescent="0.4">
      <c r="A239" s="91"/>
      <c r="B239" s="277" t="str">
        <f t="shared" si="31"/>
        <v>Glass</v>
      </c>
      <c r="C239" s="276">
        <f t="shared" si="31"/>
        <v>6.7961165048543687E-2</v>
      </c>
      <c r="D239" s="99">
        <f t="shared" si="31"/>
        <v>1.5631067961165049E-2</v>
      </c>
      <c r="E239" s="101" t="str">
        <f t="shared" si="31"/>
        <v>Y</v>
      </c>
      <c r="F239" s="101" t="str">
        <f t="shared" si="31"/>
        <v>Y</v>
      </c>
      <c r="G239" s="102">
        <f t="shared" si="31"/>
        <v>1</v>
      </c>
      <c r="H239" s="101" t="str">
        <f>H114</f>
        <v>Electrical machinery</v>
      </c>
      <c r="I239" s="145">
        <f t="shared" si="32"/>
        <v>0.13001734713264965</v>
      </c>
      <c r="J239" s="101" t="str">
        <f t="shared" si="32"/>
        <v>C</v>
      </c>
      <c r="K239" s="99">
        <f t="shared" si="32"/>
        <v>2.4354066985645932</v>
      </c>
      <c r="L239" s="100">
        <f t="shared" si="32"/>
        <v>0.18662777100380334</v>
      </c>
      <c r="M239" s="99">
        <f t="shared" si="32"/>
        <v>1.8548259333166246E-2</v>
      </c>
    </row>
    <row r="240" spans="1:16" ht="16.5" thickBot="1" x14ac:dyDescent="0.4">
      <c r="A240" s="91"/>
      <c r="B240" s="277" t="str">
        <f t="shared" si="31"/>
        <v>Al frame</v>
      </c>
      <c r="C240" s="276">
        <f t="shared" si="31"/>
        <v>5.8252427184466021E-2</v>
      </c>
      <c r="D240" s="99">
        <f t="shared" si="31"/>
        <v>1.3398058252427186E-2</v>
      </c>
      <c r="E240" s="101" t="str">
        <f t="shared" si="31"/>
        <v>Y</v>
      </c>
      <c r="F240" s="101" t="str">
        <f t="shared" si="31"/>
        <v>Y</v>
      </c>
      <c r="G240" s="102">
        <f t="shared" si="31"/>
        <v>0.65</v>
      </c>
      <c r="H240" s="164" t="s">
        <v>877</v>
      </c>
      <c r="I240" s="145">
        <f t="shared" si="32"/>
        <v>0.23534870376544167</v>
      </c>
      <c r="J240" s="101" t="str">
        <f t="shared" si="32"/>
        <v>C</v>
      </c>
      <c r="K240" s="99">
        <f t="shared" si="32"/>
        <v>2.4354066985645932</v>
      </c>
      <c r="L240" s="100">
        <f t="shared" si="32"/>
        <v>0.21958371882421579</v>
      </c>
      <c r="M240" s="99">
        <f t="shared" si="32"/>
        <v>1.6340053708518622E-2</v>
      </c>
      <c r="N240" s="77" t="s">
        <v>877</v>
      </c>
    </row>
    <row r="241" spans="1:15" ht="16.5" thickBot="1" x14ac:dyDescent="0.4">
      <c r="A241" s="91"/>
      <c r="B241" s="277" t="str">
        <f t="shared" si="31"/>
        <v>EVA</v>
      </c>
      <c r="C241" s="276">
        <f t="shared" si="31"/>
        <v>4.8543689320388349E-2</v>
      </c>
      <c r="D241" s="99">
        <f t="shared" si="31"/>
        <v>1.1165048543689321E-2</v>
      </c>
      <c r="E241" s="101" t="str">
        <f t="shared" si="31"/>
        <v>N</v>
      </c>
      <c r="F241" s="101">
        <f t="shared" si="31"/>
        <v>0</v>
      </c>
      <c r="G241" s="102">
        <f t="shared" si="31"/>
        <v>0</v>
      </c>
      <c r="H241" s="164" t="s">
        <v>892</v>
      </c>
      <c r="I241" s="145">
        <f t="shared" si="32"/>
        <v>0</v>
      </c>
      <c r="J241" s="101">
        <f t="shared" si="32"/>
        <v>0</v>
      </c>
      <c r="K241" s="99">
        <f t="shared" si="32"/>
        <v>0</v>
      </c>
      <c r="L241" s="100">
        <f t="shared" si="32"/>
        <v>0.1166666666666667</v>
      </c>
      <c r="M241" s="99">
        <f t="shared" si="32"/>
        <v>1.2467637540453077E-2</v>
      </c>
      <c r="N241" s="77" t="s">
        <v>892</v>
      </c>
      <c r="O241" s="77" t="s">
        <v>900</v>
      </c>
    </row>
    <row r="242" spans="1:15" ht="16.5" thickBot="1" x14ac:dyDescent="0.4">
      <c r="A242" s="91"/>
      <c r="B242" s="277" t="str">
        <f t="shared" si="31"/>
        <v>Backsheets</v>
      </c>
      <c r="C242" s="276">
        <f t="shared" si="31"/>
        <v>3.8834951456310676E-2</v>
      </c>
      <c r="D242" s="99">
        <f t="shared" si="31"/>
        <v>8.9320388349514567E-3</v>
      </c>
      <c r="E242" s="101" t="str">
        <f t="shared" si="31"/>
        <v>N</v>
      </c>
      <c r="F242" s="101">
        <f t="shared" si="31"/>
        <v>0</v>
      </c>
      <c r="G242" s="102">
        <f t="shared" si="31"/>
        <v>0</v>
      </c>
      <c r="H242" s="164" t="s">
        <v>892</v>
      </c>
      <c r="I242" s="145">
        <f t="shared" si="32"/>
        <v>0</v>
      </c>
      <c r="J242" s="101">
        <f t="shared" si="32"/>
        <v>0</v>
      </c>
      <c r="K242" s="99">
        <f t="shared" si="32"/>
        <v>0</v>
      </c>
      <c r="L242" s="100">
        <f t="shared" si="32"/>
        <v>0.1166666666666667</v>
      </c>
      <c r="M242" s="99">
        <f t="shared" si="32"/>
        <v>9.9741100323624595E-3</v>
      </c>
      <c r="N242" s="77" t="s">
        <v>892</v>
      </c>
      <c r="O242" s="77" t="s">
        <v>900</v>
      </c>
    </row>
    <row r="243" spans="1:15" ht="16.5" thickBot="1" x14ac:dyDescent="0.4">
      <c r="A243" s="91"/>
      <c r="B243" s="277" t="str">
        <f t="shared" si="31"/>
        <v>Tabbing</v>
      </c>
      <c r="C243" s="276">
        <f t="shared" si="31"/>
        <v>3.8834951456310676E-2</v>
      </c>
      <c r="D243" s="99">
        <f t="shared" si="31"/>
        <v>8.9320388349514567E-3</v>
      </c>
      <c r="E243" s="101" t="str">
        <f t="shared" si="31"/>
        <v>N</v>
      </c>
      <c r="F243" s="101">
        <f t="shared" si="31"/>
        <v>0</v>
      </c>
      <c r="G243" s="102">
        <f t="shared" si="31"/>
        <v>0</v>
      </c>
      <c r="H243" s="164" t="s">
        <v>892</v>
      </c>
      <c r="I243" s="145">
        <f t="shared" si="32"/>
        <v>0</v>
      </c>
      <c r="J243" s="101">
        <f t="shared" si="32"/>
        <v>0</v>
      </c>
      <c r="K243" s="99">
        <f t="shared" si="32"/>
        <v>0</v>
      </c>
      <c r="L243" s="100">
        <f t="shared" si="32"/>
        <v>0.1166666666666667</v>
      </c>
      <c r="M243" s="99">
        <f t="shared" si="32"/>
        <v>9.9741100323624595E-3</v>
      </c>
      <c r="N243" s="77" t="s">
        <v>892</v>
      </c>
      <c r="O243" s="77" t="s">
        <v>900</v>
      </c>
    </row>
    <row r="244" spans="1:15" ht="16.5" thickBot="1" x14ac:dyDescent="0.4">
      <c r="A244" s="91"/>
      <c r="B244" s="277" t="str">
        <f t="shared" si="31"/>
        <v>Junction box</v>
      </c>
      <c r="C244" s="276">
        <f t="shared" si="31"/>
        <v>3.8834951456310676E-2</v>
      </c>
      <c r="D244" s="99">
        <f t="shared" si="31"/>
        <v>8.9320388349514567E-3</v>
      </c>
      <c r="E244" s="101" t="str">
        <f t="shared" si="31"/>
        <v>Y</v>
      </c>
      <c r="F244" s="101" t="str">
        <f t="shared" si="31"/>
        <v>Y</v>
      </c>
      <c r="G244" s="102">
        <f t="shared" si="31"/>
        <v>1</v>
      </c>
      <c r="H244" s="164" t="s">
        <v>892</v>
      </c>
      <c r="I244" s="145">
        <f t="shared" si="32"/>
        <v>0.12138980230577215</v>
      </c>
      <c r="J244" s="101" t="str">
        <f t="shared" si="32"/>
        <v>C</v>
      </c>
      <c r="K244" s="99">
        <f t="shared" si="32"/>
        <v>2.4354066985645932</v>
      </c>
      <c r="L244" s="100">
        <f t="shared" si="32"/>
        <v>0.17424373536713711</v>
      </c>
      <c r="M244" s="99">
        <f t="shared" si="32"/>
        <v>1.0488390645997729E-2</v>
      </c>
      <c r="N244" s="77" t="s">
        <v>892</v>
      </c>
      <c r="O244" s="77" t="s">
        <v>899</v>
      </c>
    </row>
    <row r="245" spans="1:15" ht="16.5" thickBot="1" x14ac:dyDescent="0.4">
      <c r="A245" s="91"/>
      <c r="B245" s="277" t="str">
        <f t="shared" si="31"/>
        <v xml:space="preserve">Non material costs </v>
      </c>
      <c r="C245" s="276">
        <f t="shared" si="31"/>
        <v>0.17475728155339806</v>
      </c>
      <c r="D245" s="99">
        <f t="shared" si="31"/>
        <v>4.0194174757281556E-2</v>
      </c>
      <c r="E245" s="101" t="str">
        <f t="shared" si="31"/>
        <v>Y</v>
      </c>
      <c r="F245" s="101" t="str">
        <f t="shared" si="31"/>
        <v>Y</v>
      </c>
      <c r="G245" s="102">
        <f t="shared" si="31"/>
        <v>1</v>
      </c>
      <c r="H245" s="164" t="s">
        <v>603</v>
      </c>
      <c r="I245" s="145">
        <f t="shared" si="32"/>
        <v>0.30557059589154911</v>
      </c>
      <c r="J245" s="101" t="str">
        <f t="shared" si="32"/>
        <v>C</v>
      </c>
      <c r="K245" s="99">
        <f t="shared" si="32"/>
        <v>2.4354066985645932</v>
      </c>
      <c r="L245" s="100">
        <f t="shared" si="32"/>
        <v>0.43861808022710402</v>
      </c>
      <c r="M245" s="99">
        <f t="shared" si="32"/>
        <v>5.7824066525633114E-2</v>
      </c>
      <c r="N245" s="77" t="s">
        <v>608</v>
      </c>
      <c r="O245" s="77" t="s">
        <v>898</v>
      </c>
    </row>
    <row r="246" spans="1:15" ht="16.5" thickBot="1" x14ac:dyDescent="0.4">
      <c r="A246" s="91" t="str">
        <f>SAREM_PV!C124</f>
        <v>Mounting hardware</v>
      </c>
    </row>
    <row r="247" spans="1:15" ht="16.5" thickBot="1" x14ac:dyDescent="0.4">
      <c r="A247" s="91"/>
      <c r="B247" s="277" t="str">
        <f t="shared" ref="B247:G247" si="33">B127</f>
        <v>Mounting structures</v>
      </c>
      <c r="C247" s="276">
        <f t="shared" si="33"/>
        <v>1</v>
      </c>
      <c r="D247" s="99">
        <f t="shared" si="33"/>
        <v>0.14256296530967844</v>
      </c>
      <c r="E247" s="101" t="str">
        <f t="shared" si="33"/>
        <v>Y</v>
      </c>
      <c r="F247" s="101" t="str">
        <f t="shared" si="33"/>
        <v>Y</v>
      </c>
      <c r="G247" s="102">
        <f t="shared" si="33"/>
        <v>1</v>
      </c>
      <c r="H247" s="164" t="s">
        <v>877</v>
      </c>
      <c r="I247" s="145">
        <f>I127</f>
        <v>0.23534870376544167</v>
      </c>
      <c r="J247" s="101" t="str">
        <f>J127</f>
        <v>US</v>
      </c>
      <c r="K247" s="99">
        <f>K127</f>
        <v>1.928030303030303</v>
      </c>
      <c r="L247" s="100">
        <f>L127</f>
        <v>0.21841072887323176</v>
      </c>
      <c r="M247" s="99">
        <f>M127</f>
        <v>0.17370024647329457</v>
      </c>
      <c r="N247" s="278"/>
      <c r="O247" s="278"/>
    </row>
    <row r="248" spans="1:15" ht="16.5" thickBot="1" x14ac:dyDescent="0.4">
      <c r="A248" s="91" t="str">
        <f>SAREM_PV!C164</f>
        <v xml:space="preserve">Inverter - central </v>
      </c>
    </row>
    <row r="249" spans="1:15" ht="16.5" thickBot="1" x14ac:dyDescent="0.4">
      <c r="A249" s="91"/>
      <c r="B249" s="277" t="str">
        <f t="shared" ref="B249:M249" si="34">B167</f>
        <v>Magnetics and Transformers</v>
      </c>
      <c r="C249" s="276">
        <f t="shared" si="34"/>
        <v>0.32</v>
      </c>
      <c r="D249" s="99">
        <f t="shared" si="34"/>
        <v>2.0313043478260871E-2</v>
      </c>
      <c r="E249" s="101" t="str">
        <f t="shared" si="34"/>
        <v>Y</v>
      </c>
      <c r="F249" s="101">
        <f t="shared" si="34"/>
        <v>0</v>
      </c>
      <c r="G249" s="102">
        <f t="shared" si="34"/>
        <v>1</v>
      </c>
      <c r="H249" s="101" t="str">
        <f t="shared" si="34"/>
        <v>Electrical machinery</v>
      </c>
      <c r="I249" s="145">
        <f t="shared" si="34"/>
        <v>0.13001734713264965</v>
      </c>
      <c r="J249" s="101" t="str">
        <f t="shared" si="34"/>
        <v>US</v>
      </c>
      <c r="K249" s="99">
        <f t="shared" si="34"/>
        <v>1.928030303030303</v>
      </c>
      <c r="L249" s="100">
        <f t="shared" si="34"/>
        <v>0.12066003805870906</v>
      </c>
      <c r="M249" s="99">
        <f t="shared" si="34"/>
        <v>2.2764016077436038E-2</v>
      </c>
    </row>
    <row r="250" spans="1:15" ht="16.5" thickBot="1" x14ac:dyDescent="0.4">
      <c r="A250" s="91"/>
      <c r="B250" s="277" t="str">
        <f t="shared" ref="B250:M250" si="35">B168</f>
        <v xml:space="preserve">Power Stage and Power Electronics </v>
      </c>
      <c r="C250" s="276">
        <f t="shared" si="35"/>
        <v>0.16</v>
      </c>
      <c r="D250" s="99">
        <f t="shared" si="35"/>
        <v>1.0156521739130436E-2</v>
      </c>
      <c r="E250" s="101" t="str">
        <f t="shared" si="35"/>
        <v>Y</v>
      </c>
      <c r="F250" s="101">
        <f t="shared" si="35"/>
        <v>0</v>
      </c>
      <c r="G250" s="102">
        <f t="shared" si="35"/>
        <v>1</v>
      </c>
      <c r="H250" s="101" t="str">
        <f t="shared" si="35"/>
        <v>Electrical machinery</v>
      </c>
      <c r="I250" s="145">
        <f t="shared" si="35"/>
        <v>0.13001734713264965</v>
      </c>
      <c r="J250" s="101" t="str">
        <f t="shared" si="35"/>
        <v>US</v>
      </c>
      <c r="K250" s="99">
        <f t="shared" si="35"/>
        <v>1.928030303030303</v>
      </c>
      <c r="L250" s="100">
        <f t="shared" si="35"/>
        <v>0.12066003805870906</v>
      </c>
      <c r="M250" s="99">
        <f t="shared" si="35"/>
        <v>1.1382008038718019E-2</v>
      </c>
    </row>
    <row r="251" spans="1:15" ht="16.5" thickBot="1" x14ac:dyDescent="0.4">
      <c r="A251" s="91"/>
      <c r="B251" s="277" t="str">
        <f t="shared" ref="B251:G253" si="36">B169</f>
        <v>Enclosure and Packaging</v>
      </c>
      <c r="C251" s="276">
        <f t="shared" si="36"/>
        <v>0.11</v>
      </c>
      <c r="D251" s="99">
        <f t="shared" si="36"/>
        <v>6.9826086956521743E-3</v>
      </c>
      <c r="E251" s="101" t="str">
        <f t="shared" si="36"/>
        <v>Y</v>
      </c>
      <c r="F251" s="101">
        <f t="shared" si="36"/>
        <v>0</v>
      </c>
      <c r="G251" s="102">
        <f t="shared" si="36"/>
        <v>1</v>
      </c>
      <c r="H251" s="164" t="s">
        <v>892</v>
      </c>
      <c r="I251" s="145">
        <f t="shared" ref="I251:M253" si="37">I169</f>
        <v>0.23534870376544167</v>
      </c>
      <c r="J251" s="101" t="str">
        <f t="shared" si="37"/>
        <v>US</v>
      </c>
      <c r="K251" s="99">
        <f t="shared" si="37"/>
        <v>1.928030303030303</v>
      </c>
      <c r="L251" s="100">
        <f t="shared" si="37"/>
        <v>0.21841072887323176</v>
      </c>
      <c r="M251" s="99">
        <f t="shared" si="37"/>
        <v>8.5076853503061323E-3</v>
      </c>
      <c r="N251" s="278"/>
      <c r="O251" s="278"/>
    </row>
    <row r="252" spans="1:15" ht="16.5" thickBot="1" x14ac:dyDescent="0.4">
      <c r="A252" s="91"/>
      <c r="B252" s="277" t="str">
        <f t="shared" si="36"/>
        <v>Printed Circuit Board/Misc Parts</v>
      </c>
      <c r="C252" s="276">
        <f t="shared" si="36"/>
        <v>0.23</v>
      </c>
      <c r="D252" s="99">
        <f t="shared" si="36"/>
        <v>1.4600000000000002E-2</v>
      </c>
      <c r="E252" s="101" t="str">
        <f t="shared" si="36"/>
        <v>N</v>
      </c>
      <c r="F252" s="101">
        <f t="shared" si="36"/>
        <v>0</v>
      </c>
      <c r="G252" s="102">
        <f t="shared" si="36"/>
        <v>0</v>
      </c>
      <c r="H252" s="101" t="str">
        <f>H170</f>
        <v>Electrical machinery</v>
      </c>
      <c r="I252" s="145">
        <f t="shared" si="37"/>
        <v>0.13001734713264965</v>
      </c>
      <c r="J252" s="101">
        <f t="shared" si="37"/>
        <v>0</v>
      </c>
      <c r="K252" s="99" t="str">
        <f t="shared" si="37"/>
        <v/>
      </c>
      <c r="L252" s="100">
        <f t="shared" si="37"/>
        <v>4.6666666666666634E-2</v>
      </c>
      <c r="M252" s="99">
        <f t="shared" si="37"/>
        <v>1.5281333333333334E-2</v>
      </c>
    </row>
    <row r="253" spans="1:15" ht="16.5" thickBot="1" x14ac:dyDescent="0.4">
      <c r="A253" s="91"/>
      <c r="B253" s="277" t="str">
        <f t="shared" si="36"/>
        <v>Asseembly, Production and Testing</v>
      </c>
      <c r="C253" s="276">
        <f t="shared" si="36"/>
        <v>0.18</v>
      </c>
      <c r="D253" s="99">
        <f t="shared" si="36"/>
        <v>1.1426086956521739E-2</v>
      </c>
      <c r="E253" s="101" t="str">
        <f t="shared" si="36"/>
        <v>Y</v>
      </c>
      <c r="F253" s="101">
        <f t="shared" si="36"/>
        <v>0</v>
      </c>
      <c r="G253" s="102">
        <f t="shared" si="36"/>
        <v>1</v>
      </c>
      <c r="H253" s="101" t="str">
        <f>H171</f>
        <v xml:space="preserve">Labour </v>
      </c>
      <c r="I253" s="145">
        <f t="shared" si="37"/>
        <v>1</v>
      </c>
      <c r="J253" s="101" t="str">
        <f t="shared" si="37"/>
        <v>US</v>
      </c>
      <c r="K253" s="99">
        <f t="shared" si="37"/>
        <v>1.928030303030303</v>
      </c>
      <c r="L253" s="100">
        <f t="shared" si="37"/>
        <v>0.92803030303030276</v>
      </c>
      <c r="M253" s="99">
        <f t="shared" si="37"/>
        <v>2.2029841897233199E-2</v>
      </c>
    </row>
    <row r="254" spans="1:15" ht="16.5" thickBot="1" x14ac:dyDescent="0.4">
      <c r="A254" s="91" t="str">
        <f>C179</f>
        <v xml:space="preserve">Transformer </v>
      </c>
    </row>
    <row r="255" spans="1:15" ht="16.5" thickBot="1" x14ac:dyDescent="0.4">
      <c r="A255" s="91"/>
      <c r="B255" s="277" t="str">
        <f t="shared" ref="B255:M255" si="38">B182</f>
        <v>Magnetic steel</v>
      </c>
      <c r="C255" s="276">
        <f t="shared" si="38"/>
        <v>6.5000000000000002E-2</v>
      </c>
      <c r="D255" s="99">
        <f t="shared" si="38"/>
        <v>8.8135593220338979E-4</v>
      </c>
      <c r="E255" s="101" t="str">
        <f t="shared" si="38"/>
        <v>Y</v>
      </c>
      <c r="F255" s="101" t="str">
        <f t="shared" si="38"/>
        <v>Y</v>
      </c>
      <c r="G255" s="102">
        <f t="shared" si="38"/>
        <v>1</v>
      </c>
      <c r="H255" s="101" t="str">
        <f t="shared" si="38"/>
        <v>Basic iron and steel</v>
      </c>
      <c r="I255" s="145">
        <f t="shared" si="38"/>
        <v>9.7044444371923971E-2</v>
      </c>
      <c r="J255" s="101" t="str">
        <f t="shared" si="38"/>
        <v>E</v>
      </c>
      <c r="K255" s="99">
        <f t="shared" si="38"/>
        <v>1.0761099365750528</v>
      </c>
      <c r="L255" s="100">
        <f t="shared" si="38"/>
        <v>7.3860465061084124E-3</v>
      </c>
      <c r="M255" s="99">
        <f t="shared" si="38"/>
        <v>8.878656681070785E-4</v>
      </c>
    </row>
    <row r="256" spans="1:15" ht="16.5" thickBot="1" x14ac:dyDescent="0.4">
      <c r="A256" s="91"/>
      <c r="B256" s="277" t="str">
        <f t="shared" ref="B256:G264" si="39">B183</f>
        <v>Windgings - copper or al</v>
      </c>
      <c r="C256" s="276">
        <f t="shared" si="39"/>
        <v>4.4000000000000004E-2</v>
      </c>
      <c r="D256" s="99">
        <f t="shared" si="39"/>
        <v>5.9661016949152544E-4</v>
      </c>
      <c r="E256" s="101" t="str">
        <f t="shared" si="39"/>
        <v>N</v>
      </c>
      <c r="F256" s="101">
        <f t="shared" si="39"/>
        <v>0</v>
      </c>
      <c r="G256" s="102">
        <f t="shared" si="39"/>
        <v>1</v>
      </c>
      <c r="H256" s="164" t="s">
        <v>892</v>
      </c>
      <c r="I256" s="145" t="e">
        <f t="shared" ref="I256:M264" si="40">I183</f>
        <v>#N/A</v>
      </c>
      <c r="J256" s="101">
        <f t="shared" si="40"/>
        <v>0</v>
      </c>
      <c r="K256" s="99" t="str">
        <f t="shared" si="40"/>
        <v/>
      </c>
      <c r="L256" s="100">
        <f t="shared" si="40"/>
        <v>0.1166666666666667</v>
      </c>
      <c r="M256" s="99">
        <f t="shared" si="40"/>
        <v>6.6621468926553672E-4</v>
      </c>
      <c r="N256" s="77" t="s">
        <v>892</v>
      </c>
    </row>
    <row r="257" spans="1:15" ht="16.5" thickBot="1" x14ac:dyDescent="0.4">
      <c r="A257" s="91"/>
      <c r="B257" s="277" t="str">
        <f t="shared" si="39"/>
        <v>Insulation</v>
      </c>
      <c r="C257" s="276">
        <f t="shared" si="39"/>
        <v>2.8000000000000004E-2</v>
      </c>
      <c r="D257" s="99">
        <f t="shared" si="39"/>
        <v>3.7966101694915258E-4</v>
      </c>
      <c r="E257" s="101" t="str">
        <f t="shared" si="39"/>
        <v>Y</v>
      </c>
      <c r="F257" s="101" t="str">
        <f t="shared" si="39"/>
        <v>Y</v>
      </c>
      <c r="G257" s="102">
        <f t="shared" si="39"/>
        <v>1</v>
      </c>
      <c r="H257" s="164" t="s">
        <v>892</v>
      </c>
      <c r="I257" s="145">
        <f t="shared" si="40"/>
        <v>0.10947716642839322</v>
      </c>
      <c r="J257" s="101" t="str">
        <f t="shared" si="40"/>
        <v>E</v>
      </c>
      <c r="K257" s="99">
        <f t="shared" si="40"/>
        <v>1.0761099365750528</v>
      </c>
      <c r="L257" s="100">
        <f t="shared" si="40"/>
        <v>8.3323001932815721E-3</v>
      </c>
      <c r="M257" s="99">
        <f t="shared" si="40"/>
        <v>3.8282446651405946E-4</v>
      </c>
      <c r="N257" s="77" t="s">
        <v>892</v>
      </c>
      <c r="O257" s="77" t="s">
        <v>897</v>
      </c>
    </row>
    <row r="258" spans="1:15" ht="16.5" thickBot="1" x14ac:dyDescent="0.4">
      <c r="A258" s="91"/>
      <c r="B258" s="277" t="str">
        <f t="shared" si="39"/>
        <v>Carbon steel</v>
      </c>
      <c r="C258" s="276">
        <f t="shared" si="39"/>
        <v>3.3000000000000002E-2</v>
      </c>
      <c r="D258" s="99">
        <f t="shared" si="39"/>
        <v>4.4745762711864408E-4</v>
      </c>
      <c r="E258" s="101" t="str">
        <f t="shared" si="39"/>
        <v>Y</v>
      </c>
      <c r="F258" s="101" t="str">
        <f t="shared" si="39"/>
        <v>Y</v>
      </c>
      <c r="G258" s="102">
        <f t="shared" si="39"/>
        <v>1</v>
      </c>
      <c r="H258" s="101" t="str">
        <f>H185</f>
        <v>Basic iron and steel</v>
      </c>
      <c r="I258" s="145">
        <f t="shared" si="40"/>
        <v>9.7044444371923971E-2</v>
      </c>
      <c r="J258" s="101" t="str">
        <f t="shared" si="40"/>
        <v>E</v>
      </c>
      <c r="K258" s="99">
        <f t="shared" si="40"/>
        <v>1.0761099365750528</v>
      </c>
      <c r="L258" s="100">
        <f t="shared" si="40"/>
        <v>7.3860465061084124E-3</v>
      </c>
      <c r="M258" s="99">
        <f t="shared" si="40"/>
        <v>4.5076256996205531E-4</v>
      </c>
    </row>
    <row r="259" spans="1:15" ht="16.5" thickBot="1" x14ac:dyDescent="0.4">
      <c r="A259" s="91"/>
      <c r="B259" s="277" t="str">
        <f t="shared" si="39"/>
        <v xml:space="preserve">Fabricated parts </v>
      </c>
      <c r="C259" s="276">
        <f t="shared" si="39"/>
        <v>0.03</v>
      </c>
      <c r="D259" s="99">
        <f t="shared" si="39"/>
        <v>4.0677966101694915E-4</v>
      </c>
      <c r="E259" s="101" t="str">
        <f t="shared" si="39"/>
        <v>Y</v>
      </c>
      <c r="F259" s="101" t="str">
        <f t="shared" si="39"/>
        <v>Y</v>
      </c>
      <c r="G259" s="102">
        <f t="shared" si="39"/>
        <v>1</v>
      </c>
      <c r="H259" s="101" t="str">
        <f>H186</f>
        <v xml:space="preserve">Structural metal </v>
      </c>
      <c r="I259" s="145">
        <f t="shared" si="40"/>
        <v>0.23534870376544167</v>
      </c>
      <c r="J259" s="101" t="str">
        <f t="shared" si="40"/>
        <v>E</v>
      </c>
      <c r="K259" s="99">
        <f t="shared" si="40"/>
        <v>1.0761099365750528</v>
      </c>
      <c r="L259" s="100">
        <f t="shared" si="40"/>
        <v>1.7912374916608576E-2</v>
      </c>
      <c r="M259" s="99">
        <f t="shared" si="40"/>
        <v>4.1406605081353571E-4</v>
      </c>
    </row>
    <row r="260" spans="1:15" ht="16.5" thickBot="1" x14ac:dyDescent="0.4">
      <c r="A260" s="91"/>
      <c r="B260" s="277" t="str">
        <f t="shared" si="39"/>
        <v>Labour - direct and ind</v>
      </c>
      <c r="C260" s="276">
        <f t="shared" si="39"/>
        <v>0.15200000000000002</v>
      </c>
      <c r="D260" s="99">
        <f t="shared" si="39"/>
        <v>2.0610169491525427E-3</v>
      </c>
      <c r="E260" s="101" t="str">
        <f t="shared" si="39"/>
        <v>Y</v>
      </c>
      <c r="F260" s="101" t="str">
        <f t="shared" si="39"/>
        <v>Y</v>
      </c>
      <c r="G260" s="102">
        <f t="shared" si="39"/>
        <v>1</v>
      </c>
      <c r="H260" s="101" t="str">
        <f>H187</f>
        <v xml:space="preserve">Labour </v>
      </c>
      <c r="I260" s="145">
        <f t="shared" si="40"/>
        <v>1</v>
      </c>
      <c r="J260" s="101" t="str">
        <f t="shared" si="40"/>
        <v>E</v>
      </c>
      <c r="K260" s="99">
        <f t="shared" si="40"/>
        <v>1.0761099365750528</v>
      </c>
      <c r="L260" s="100">
        <f t="shared" si="40"/>
        <v>7.6109936575052828E-2</v>
      </c>
      <c r="M260" s="99">
        <f t="shared" si="40"/>
        <v>2.2178808184326517E-3</v>
      </c>
    </row>
    <row r="261" spans="1:15" ht="16.5" thickBot="1" x14ac:dyDescent="0.4">
      <c r="A261" s="91"/>
      <c r="B261" s="277" t="str">
        <f t="shared" si="39"/>
        <v>Overheads</v>
      </c>
      <c r="C261" s="276">
        <f t="shared" si="39"/>
        <v>4.8000000000000001E-2</v>
      </c>
      <c r="D261" s="99">
        <f t="shared" si="39"/>
        <v>6.5084745762711868E-4</v>
      </c>
      <c r="E261" s="101" t="str">
        <f t="shared" si="39"/>
        <v>Y</v>
      </c>
      <c r="F261" s="101" t="str">
        <f t="shared" si="39"/>
        <v>Y</v>
      </c>
      <c r="G261" s="102">
        <f t="shared" si="39"/>
        <v>1</v>
      </c>
      <c r="H261" s="101" t="str">
        <f>H188</f>
        <v>Electrical machinery</v>
      </c>
      <c r="I261" s="145">
        <f t="shared" si="40"/>
        <v>0.13001734713264965</v>
      </c>
      <c r="J261" s="101" t="str">
        <f t="shared" si="40"/>
        <v>E</v>
      </c>
      <c r="K261" s="99">
        <f t="shared" si="40"/>
        <v>1.0761099365750528</v>
      </c>
      <c r="L261" s="100">
        <f t="shared" si="40"/>
        <v>9.8956120439226414E-3</v>
      </c>
      <c r="M261" s="99">
        <f t="shared" si="40"/>
        <v>6.5728799156757002E-4</v>
      </c>
    </row>
    <row r="262" spans="1:15" ht="16.5" thickBot="1" x14ac:dyDescent="0.4">
      <c r="A262" s="91"/>
      <c r="B262" s="277" t="str">
        <f t="shared" si="39"/>
        <v>Engineering cost</v>
      </c>
      <c r="C262" s="276">
        <f t="shared" si="39"/>
        <v>0.15</v>
      </c>
      <c r="D262" s="99">
        <f t="shared" si="39"/>
        <v>2.0338983050847458E-3</v>
      </c>
      <c r="E262" s="101" t="str">
        <f t="shared" si="39"/>
        <v>Y</v>
      </c>
      <c r="F262" s="101" t="str">
        <f t="shared" si="39"/>
        <v>Y</v>
      </c>
      <c r="G262" s="102">
        <f t="shared" si="39"/>
        <v>1</v>
      </c>
      <c r="H262" s="101" t="str">
        <f>H189</f>
        <v xml:space="preserve">Labour </v>
      </c>
      <c r="I262" s="145">
        <f t="shared" si="40"/>
        <v>1</v>
      </c>
      <c r="J262" s="101" t="str">
        <f t="shared" si="40"/>
        <v>E</v>
      </c>
      <c r="K262" s="99">
        <f t="shared" si="40"/>
        <v>1.0761099365750528</v>
      </c>
      <c r="L262" s="100">
        <f t="shared" si="40"/>
        <v>7.6109936575052828E-2</v>
      </c>
      <c r="M262" s="99">
        <f t="shared" si="40"/>
        <v>2.1886981760848531E-3</v>
      </c>
    </row>
    <row r="263" spans="1:15" ht="16.5" thickBot="1" x14ac:dyDescent="0.4">
      <c r="A263" s="91"/>
      <c r="B263" s="277" t="str">
        <f t="shared" si="39"/>
        <v xml:space="preserve">Profit </v>
      </c>
      <c r="C263" s="276">
        <f t="shared" si="39"/>
        <v>0.2</v>
      </c>
      <c r="D263" s="99">
        <f t="shared" si="39"/>
        <v>2.7118644067796612E-3</v>
      </c>
      <c r="E263" s="101" t="str">
        <f t="shared" si="39"/>
        <v>Y</v>
      </c>
      <c r="F263" s="101" t="str">
        <f t="shared" si="39"/>
        <v>Y</v>
      </c>
      <c r="G263" s="102">
        <f t="shared" si="39"/>
        <v>2</v>
      </c>
      <c r="H263" s="164" t="s">
        <v>896</v>
      </c>
      <c r="I263" s="145" t="e">
        <f t="shared" si="40"/>
        <v>#N/A</v>
      </c>
      <c r="J263" s="101">
        <f t="shared" si="40"/>
        <v>0</v>
      </c>
      <c r="K263" s="99" t="str">
        <f t="shared" si="40"/>
        <v/>
      </c>
      <c r="L263" s="100">
        <f t="shared" si="40"/>
        <v>4.6887176000697472E-2</v>
      </c>
      <c r="M263" s="99">
        <f t="shared" si="40"/>
        <v>2.8390160705103664E-3</v>
      </c>
      <c r="N263" s="77" t="s">
        <v>896</v>
      </c>
      <c r="O263" s="77" t="s">
        <v>895</v>
      </c>
    </row>
    <row r="264" spans="1:15" ht="16.5" thickBot="1" x14ac:dyDescent="0.4">
      <c r="A264" s="91"/>
      <c r="B264" s="277" t="str">
        <f t="shared" si="39"/>
        <v>Admin</v>
      </c>
      <c r="C264" s="276">
        <f t="shared" si="39"/>
        <v>0.25</v>
      </c>
      <c r="D264" s="99">
        <f t="shared" si="39"/>
        <v>3.3898305084745762E-3</v>
      </c>
      <c r="E264" s="101" t="str">
        <f t="shared" si="39"/>
        <v>Y</v>
      </c>
      <c r="F264" s="101" t="str">
        <f t="shared" si="39"/>
        <v>Y</v>
      </c>
      <c r="G264" s="102">
        <f t="shared" si="39"/>
        <v>3</v>
      </c>
      <c r="H264" s="164" t="s">
        <v>603</v>
      </c>
      <c r="I264" s="145">
        <f t="shared" si="40"/>
        <v>0.13001734713264965</v>
      </c>
      <c r="J264" s="101" t="str">
        <f t="shared" si="40"/>
        <v>E</v>
      </c>
      <c r="K264" s="99">
        <f t="shared" si="40"/>
        <v>1.0761099365750528</v>
      </c>
      <c r="L264" s="100">
        <f t="shared" si="40"/>
        <v>2.9686836131767702E-2</v>
      </c>
      <c r="M264" s="99">
        <f t="shared" si="40"/>
        <v>3.4904638512941277E-3</v>
      </c>
      <c r="N264" s="77" t="s">
        <v>894</v>
      </c>
      <c r="O264" s="77" t="s">
        <v>893</v>
      </c>
    </row>
    <row r="265" spans="1:15" ht="16.5" thickBot="1" x14ac:dyDescent="0.4">
      <c r="A265" s="91" t="str">
        <f>C195</f>
        <v xml:space="preserve">BoS -  cabling </v>
      </c>
    </row>
    <row r="266" spans="1:15" ht="16.5" thickBot="1" x14ac:dyDescent="0.4">
      <c r="A266" s="91"/>
      <c r="B266" s="277" t="str">
        <f t="shared" ref="B266:M266" si="41">B198</f>
        <v>Conductors (copper rods ,aluminium rods)</v>
      </c>
      <c r="C266" s="276">
        <f t="shared" si="41"/>
        <v>0.6</v>
      </c>
      <c r="D266" s="99">
        <f t="shared" si="41"/>
        <v>3.8249430812041484E-2</v>
      </c>
      <c r="E266" s="101" t="str">
        <f t="shared" si="41"/>
        <v>Y</v>
      </c>
      <c r="F266" s="101" t="str">
        <f t="shared" si="41"/>
        <v>Y</v>
      </c>
      <c r="G266" s="102">
        <f t="shared" si="41"/>
        <v>1</v>
      </c>
      <c r="H266" s="101" t="str">
        <f t="shared" si="41"/>
        <v>Basic iron and steel</v>
      </c>
      <c r="I266" s="145">
        <f t="shared" si="41"/>
        <v>9.7044444371923971E-2</v>
      </c>
      <c r="J266" s="101" t="str">
        <f t="shared" si="41"/>
        <v>C</v>
      </c>
      <c r="K266" s="99">
        <f t="shared" si="41"/>
        <v>2.4354066985645932</v>
      </c>
      <c r="L266" s="100">
        <f t="shared" si="41"/>
        <v>0.13929824550993875</v>
      </c>
      <c r="M266" s="99">
        <f t="shared" si="41"/>
        <v>4.3577509415912652E-2</v>
      </c>
    </row>
    <row r="267" spans="1:15" ht="16.5" thickBot="1" x14ac:dyDescent="0.4">
      <c r="A267" s="91"/>
      <c r="B267" s="277" t="str">
        <f t="shared" ref="B267:G269" si="42">B199</f>
        <v>Insulation (polymers)</v>
      </c>
      <c r="C267" s="276">
        <f t="shared" si="42"/>
        <v>0.3</v>
      </c>
      <c r="D267" s="99">
        <f t="shared" si="42"/>
        <v>1.9124715406020742E-2</v>
      </c>
      <c r="E267" s="101" t="str">
        <f t="shared" si="42"/>
        <v>N</v>
      </c>
      <c r="F267" s="101" t="str">
        <f t="shared" si="42"/>
        <v>Y</v>
      </c>
      <c r="G267" s="102">
        <f t="shared" si="42"/>
        <v>0</v>
      </c>
      <c r="H267" s="164" t="s">
        <v>892</v>
      </c>
      <c r="I267" s="145">
        <f t="shared" ref="I267:M269" si="43">I199</f>
        <v>0</v>
      </c>
      <c r="J267" s="101">
        <f t="shared" si="43"/>
        <v>0</v>
      </c>
      <c r="K267" s="99" t="str">
        <f t="shared" si="43"/>
        <v/>
      </c>
      <c r="L267" s="100">
        <f t="shared" si="43"/>
        <v>0.1166666666666667</v>
      </c>
      <c r="M267" s="99">
        <f t="shared" si="43"/>
        <v>2.135593220338983E-2</v>
      </c>
      <c r="N267" s="77" t="s">
        <v>892</v>
      </c>
    </row>
    <row r="268" spans="1:15" ht="16.5" thickBot="1" x14ac:dyDescent="0.4">
      <c r="A268" s="91"/>
      <c r="B268" s="277" t="str">
        <f t="shared" si="42"/>
        <v>Armour (steel)</v>
      </c>
      <c r="C268" s="276">
        <f t="shared" si="42"/>
        <v>0.05</v>
      </c>
      <c r="D268" s="99">
        <f t="shared" si="42"/>
        <v>3.1874525676701239E-3</v>
      </c>
      <c r="E268" s="101" t="str">
        <f t="shared" si="42"/>
        <v>Y</v>
      </c>
      <c r="F268" s="101" t="str">
        <f t="shared" si="42"/>
        <v>Y</v>
      </c>
      <c r="G268" s="102">
        <f t="shared" si="42"/>
        <v>1</v>
      </c>
      <c r="H268" s="101" t="str">
        <f>H200</f>
        <v>Basic iron and steel</v>
      </c>
      <c r="I268" s="145">
        <f t="shared" si="43"/>
        <v>9.7044444371923971E-2</v>
      </c>
      <c r="J268" s="101" t="str">
        <f t="shared" si="43"/>
        <v>C</v>
      </c>
      <c r="K268" s="99">
        <f t="shared" si="43"/>
        <v>2.4354066985645932</v>
      </c>
      <c r="L268" s="100">
        <f t="shared" si="43"/>
        <v>0.13929824550993875</v>
      </c>
      <c r="M268" s="99">
        <f t="shared" si="43"/>
        <v>3.6314591179927216E-3</v>
      </c>
    </row>
    <row r="269" spans="1:15" ht="16.5" thickBot="1" x14ac:dyDescent="0.4">
      <c r="A269" s="91"/>
      <c r="B269" s="277" t="str">
        <f t="shared" si="42"/>
        <v>Assembly, production and testing</v>
      </c>
      <c r="C269" s="276">
        <f t="shared" si="42"/>
        <v>0.05</v>
      </c>
      <c r="D269" s="99">
        <f t="shared" si="42"/>
        <v>3.1874525676701239E-3</v>
      </c>
      <c r="E269" s="101" t="str">
        <f t="shared" si="42"/>
        <v>Y</v>
      </c>
      <c r="F269" s="101" t="str">
        <f t="shared" si="42"/>
        <v>Y</v>
      </c>
      <c r="G269" s="102">
        <f t="shared" si="42"/>
        <v>1</v>
      </c>
      <c r="H269" s="101" t="str">
        <f>H201</f>
        <v xml:space="preserve">Labour </v>
      </c>
      <c r="I269" s="145">
        <f t="shared" si="43"/>
        <v>1</v>
      </c>
      <c r="J269" s="101" t="str">
        <f t="shared" si="43"/>
        <v>C</v>
      </c>
      <c r="K269" s="99">
        <f t="shared" si="43"/>
        <v>2.4354066985645932</v>
      </c>
      <c r="L269" s="100">
        <f t="shared" si="43"/>
        <v>1.4354066985645932</v>
      </c>
      <c r="M269" s="99">
        <f t="shared" si="43"/>
        <v>7.7627433346607322E-3</v>
      </c>
    </row>
    <row r="270" spans="1:15" x14ac:dyDescent="0.35">
      <c r="I270" s="85"/>
      <c r="J270" s="85"/>
      <c r="K270" s="85"/>
      <c r="L270" s="85"/>
      <c r="M270" s="85"/>
    </row>
    <row r="271" spans="1:15" x14ac:dyDescent="0.35">
      <c r="I271" s="85"/>
      <c r="J271" s="85"/>
      <c r="K271" s="85"/>
      <c r="L271" s="85"/>
      <c r="M271" s="85"/>
    </row>
    <row r="274" spans="1:17" x14ac:dyDescent="0.35">
      <c r="A274" s="91" t="s">
        <v>891</v>
      </c>
      <c r="B274" s="85"/>
      <c r="C274" s="85"/>
      <c r="D274" s="85"/>
      <c r="E274" s="85"/>
      <c r="F274" s="85"/>
      <c r="G274" s="85"/>
      <c r="H274" s="85"/>
      <c r="N274" s="92">
        <f>C19</f>
        <v>14.4</v>
      </c>
      <c r="O274" s="92" t="str">
        <f>D19</f>
        <v>Reserve Bank (april 2021)</v>
      </c>
    </row>
    <row r="275" spans="1:17" x14ac:dyDescent="0.35">
      <c r="A275" s="91"/>
      <c r="B275" s="85"/>
      <c r="C275" s="91" t="s">
        <v>617</v>
      </c>
      <c r="D275" s="85"/>
      <c r="E275" s="85"/>
      <c r="F275" s="85"/>
      <c r="G275" s="85"/>
      <c r="H275" s="275" t="s">
        <v>616</v>
      </c>
      <c r="I275" s="91"/>
      <c r="J275" s="91"/>
      <c r="K275" s="91"/>
      <c r="L275" s="91"/>
      <c r="M275" s="91" t="s">
        <v>890</v>
      </c>
      <c r="N275" s="274" t="s">
        <v>889</v>
      </c>
      <c r="P275" s="77">
        <v>2025</v>
      </c>
      <c r="Q275" s="77">
        <v>2028</v>
      </c>
    </row>
    <row r="276" spans="1:17" x14ac:dyDescent="0.35">
      <c r="B276" s="77" t="s">
        <v>887</v>
      </c>
      <c r="C276" s="77" t="s">
        <v>613</v>
      </c>
      <c r="H276" s="85" t="s">
        <v>885</v>
      </c>
      <c r="M276" s="269">
        <f t="shared" ref="M276:M284" si="44">SUMIFS($M$247:$M$269,$H$247:$H$269,$H276,$E$247:$E$269,$C$276)+SUMIFS($M$224:$M$236,$H$224:$H$236,$H276,$E$224:$E$236,$C$276)</f>
        <v>0</v>
      </c>
      <c r="N276" s="77">
        <f t="shared" ref="N276:N293" si="45">M276*$N$274</f>
        <v>0</v>
      </c>
    </row>
    <row r="277" spans="1:17" x14ac:dyDescent="0.35">
      <c r="A277" s="91"/>
      <c r="H277" s="85" t="s">
        <v>603</v>
      </c>
      <c r="M277" s="269">
        <f t="shared" si="44"/>
        <v>0.24151898191242474</v>
      </c>
      <c r="N277" s="77">
        <f t="shared" si="45"/>
        <v>3.4778733395389163</v>
      </c>
    </row>
    <row r="278" spans="1:17" x14ac:dyDescent="0.35">
      <c r="A278" s="91"/>
      <c r="H278" s="85" t="str">
        <f>H318</f>
        <v>Electrical machinery</v>
      </c>
      <c r="M278" s="269">
        <f t="shared" si="44"/>
        <v>6.3950576774125731E-2</v>
      </c>
      <c r="N278" s="77">
        <f t="shared" si="45"/>
        <v>0.92088830554741052</v>
      </c>
    </row>
    <row r="279" spans="1:17" x14ac:dyDescent="0.35">
      <c r="A279" s="91"/>
      <c r="H279" s="85" t="s">
        <v>879</v>
      </c>
      <c r="M279" s="269">
        <f t="shared" si="44"/>
        <v>4.1406605081353571E-4</v>
      </c>
      <c r="N279" s="77">
        <f t="shared" si="45"/>
        <v>5.9625511317149141E-3</v>
      </c>
    </row>
    <row r="280" spans="1:17" x14ac:dyDescent="0.35">
      <c r="A280" s="91"/>
      <c r="H280" s="85" t="s">
        <v>884</v>
      </c>
      <c r="M280" s="269">
        <f t="shared" si="44"/>
        <v>0</v>
      </c>
      <c r="N280" s="77">
        <f t="shared" si="45"/>
        <v>0</v>
      </c>
    </row>
    <row r="281" spans="1:17" x14ac:dyDescent="0.35">
      <c r="A281" s="91"/>
      <c r="H281" s="77" t="s">
        <v>883</v>
      </c>
      <c r="M281" s="269">
        <f t="shared" si="44"/>
        <v>0</v>
      </c>
      <c r="N281" s="77">
        <f t="shared" si="45"/>
        <v>0</v>
      </c>
    </row>
    <row r="282" spans="1:17" x14ac:dyDescent="0.35">
      <c r="A282" s="91"/>
      <c r="H282" s="77" t="s">
        <v>787</v>
      </c>
      <c r="M282" s="269">
        <f t="shared" si="44"/>
        <v>4.8547596771974511E-2</v>
      </c>
      <c r="N282" s="77">
        <f t="shared" si="45"/>
        <v>0.69908539351643295</v>
      </c>
    </row>
    <row r="283" spans="1:17" x14ac:dyDescent="0.35">
      <c r="A283" s="91"/>
      <c r="H283" s="77" t="s">
        <v>882</v>
      </c>
      <c r="M283" s="271">
        <f t="shared" si="44"/>
        <v>0</v>
      </c>
      <c r="N283" s="77">
        <f t="shared" si="45"/>
        <v>0</v>
      </c>
    </row>
    <row r="284" spans="1:17" x14ac:dyDescent="0.35">
      <c r="A284" s="91"/>
      <c r="B284" s="90"/>
      <c r="C284" s="90"/>
      <c r="D284" s="90"/>
      <c r="E284" s="90"/>
      <c r="F284" s="90"/>
      <c r="G284" s="90"/>
      <c r="H284" s="90" t="s">
        <v>877</v>
      </c>
      <c r="I284" s="90"/>
      <c r="J284" s="90"/>
      <c r="K284" s="90"/>
      <c r="L284" s="90"/>
      <c r="M284" s="270">
        <f t="shared" si="44"/>
        <v>0.1900403001818132</v>
      </c>
      <c r="N284" s="90">
        <f t="shared" si="45"/>
        <v>2.73658032261811</v>
      </c>
    </row>
    <row r="285" spans="1:17" x14ac:dyDescent="0.35">
      <c r="A285" s="91"/>
      <c r="B285" s="77" t="s">
        <v>886</v>
      </c>
      <c r="C285" s="77" t="s">
        <v>612</v>
      </c>
      <c r="H285" s="85" t="s">
        <v>885</v>
      </c>
      <c r="M285" s="271">
        <f t="shared" ref="M285:M293" si="46">SUMIFS($M$247:$M$269,$H$247:$H$269,$H285,$E$247:$E$269,$C$285)+SUMIFS($M$224:$M$236,$H$224:$H$236,$H285,$E$224:$E$236,$C$285)</f>
        <v>0</v>
      </c>
      <c r="N285" s="77">
        <f t="shared" si="45"/>
        <v>0</v>
      </c>
    </row>
    <row r="286" spans="1:17" x14ac:dyDescent="0.35">
      <c r="A286" s="91"/>
      <c r="H286" s="85" t="s">
        <v>603</v>
      </c>
      <c r="M286" s="269">
        <f t="shared" si="46"/>
        <v>0</v>
      </c>
      <c r="N286" s="77">
        <f t="shared" si="45"/>
        <v>0</v>
      </c>
    </row>
    <row r="287" spans="1:17" x14ac:dyDescent="0.35">
      <c r="A287" s="91"/>
      <c r="H287" s="85" t="s">
        <v>602</v>
      </c>
      <c r="M287" s="269">
        <f t="shared" si="46"/>
        <v>1.5281333333333334E-2</v>
      </c>
      <c r="N287" s="77">
        <f t="shared" si="45"/>
        <v>0.22005120000000003</v>
      </c>
    </row>
    <row r="288" spans="1:17" x14ac:dyDescent="0.35">
      <c r="A288" s="91"/>
      <c r="H288" s="85" t="s">
        <v>879</v>
      </c>
      <c r="M288" s="269">
        <f t="shared" si="46"/>
        <v>0</v>
      </c>
      <c r="N288" s="77">
        <f t="shared" si="45"/>
        <v>0</v>
      </c>
    </row>
    <row r="289" spans="1:14" x14ac:dyDescent="0.35">
      <c r="A289" s="91"/>
      <c r="H289" s="85" t="s">
        <v>884</v>
      </c>
      <c r="M289" s="269">
        <f t="shared" si="46"/>
        <v>0</v>
      </c>
      <c r="N289" s="77">
        <f t="shared" si="45"/>
        <v>0</v>
      </c>
    </row>
    <row r="290" spans="1:14" x14ac:dyDescent="0.35">
      <c r="A290" s="91"/>
      <c r="H290" s="77" t="s">
        <v>883</v>
      </c>
      <c r="M290" s="269">
        <f t="shared" si="46"/>
        <v>0</v>
      </c>
      <c r="N290" s="77">
        <f t="shared" si="45"/>
        <v>0</v>
      </c>
    </row>
    <row r="291" spans="1:14" x14ac:dyDescent="0.35">
      <c r="A291" s="91"/>
      <c r="H291" s="77" t="s">
        <v>787</v>
      </c>
      <c r="M291" s="269">
        <f t="shared" si="46"/>
        <v>0</v>
      </c>
      <c r="N291" s="77">
        <f t="shared" si="45"/>
        <v>0</v>
      </c>
    </row>
    <row r="292" spans="1:14" x14ac:dyDescent="0.35">
      <c r="A292" s="91"/>
      <c r="H292" s="77" t="s">
        <v>882</v>
      </c>
      <c r="M292" s="269">
        <f t="shared" si="46"/>
        <v>0</v>
      </c>
      <c r="N292" s="77">
        <f t="shared" si="45"/>
        <v>0</v>
      </c>
    </row>
    <row r="293" spans="1:14" x14ac:dyDescent="0.35">
      <c r="A293" s="91"/>
      <c r="H293" s="77" t="s">
        <v>877</v>
      </c>
      <c r="I293" s="93"/>
      <c r="M293" s="269">
        <f t="shared" si="46"/>
        <v>0</v>
      </c>
      <c r="N293" s="77">
        <f t="shared" si="45"/>
        <v>0</v>
      </c>
    </row>
    <row r="294" spans="1:14" x14ac:dyDescent="0.35">
      <c r="A294" s="91"/>
      <c r="M294" s="273"/>
    </row>
    <row r="295" spans="1:14" x14ac:dyDescent="0.35">
      <c r="A295" s="91" t="s">
        <v>888</v>
      </c>
      <c r="M295" s="273"/>
      <c r="N295" s="272"/>
    </row>
    <row r="296" spans="1:14" x14ac:dyDescent="0.35">
      <c r="A296" s="91"/>
      <c r="B296" s="77" t="s">
        <v>887</v>
      </c>
      <c r="C296" s="77" t="s">
        <v>613</v>
      </c>
      <c r="H296" s="85" t="s">
        <v>885</v>
      </c>
      <c r="M296" s="269">
        <f t="shared" ref="M296:M304" si="47">SUMIFS($M$247:$M$269,$H$247:$H$269,$H296,$E$247:$E$269,$C$296)+SUMIFS($M$238:$M$245,$H$238:$H$245,$H296,$E$238:$E$245,$C$296)</f>
        <v>0</v>
      </c>
      <c r="N296" s="77">
        <f t="shared" ref="N296:N313" si="48">M296*$N$274</f>
        <v>0</v>
      </c>
    </row>
    <row r="297" spans="1:14" x14ac:dyDescent="0.35">
      <c r="A297" s="91"/>
      <c r="H297" s="85" t="s">
        <v>603</v>
      </c>
      <c r="M297" s="269">
        <f t="shared" si="47"/>
        <v>9.5513694603338681E-2</v>
      </c>
      <c r="N297" s="77">
        <f t="shared" si="48"/>
        <v>1.3753972022880769</v>
      </c>
    </row>
    <row r="298" spans="1:14" x14ac:dyDescent="0.35">
      <c r="A298" s="91"/>
      <c r="H298" s="85" t="s">
        <v>602</v>
      </c>
      <c r="M298" s="269">
        <f t="shared" si="47"/>
        <v>5.3351571440887868E-2</v>
      </c>
      <c r="N298" s="77">
        <f t="shared" si="48"/>
        <v>0.76826262874878537</v>
      </c>
    </row>
    <row r="299" spans="1:14" x14ac:dyDescent="0.35">
      <c r="A299" s="91"/>
      <c r="H299" s="85" t="s">
        <v>879</v>
      </c>
      <c r="M299" s="269">
        <f t="shared" si="47"/>
        <v>4.1406605081353571E-4</v>
      </c>
      <c r="N299" s="77">
        <f t="shared" si="48"/>
        <v>5.9625511317149141E-3</v>
      </c>
    </row>
    <row r="300" spans="1:14" x14ac:dyDescent="0.35">
      <c r="A300" s="91"/>
      <c r="H300" s="85" t="s">
        <v>884</v>
      </c>
      <c r="M300" s="269">
        <f t="shared" si="47"/>
        <v>0</v>
      </c>
      <c r="N300" s="77">
        <f t="shared" si="48"/>
        <v>0</v>
      </c>
    </row>
    <row r="301" spans="1:14" x14ac:dyDescent="0.35">
      <c r="A301" s="91"/>
      <c r="H301" s="77" t="s">
        <v>883</v>
      </c>
      <c r="M301" s="269">
        <f t="shared" si="47"/>
        <v>0</v>
      </c>
      <c r="N301" s="77">
        <f t="shared" si="48"/>
        <v>0</v>
      </c>
    </row>
    <row r="302" spans="1:14" x14ac:dyDescent="0.35">
      <c r="A302" s="91"/>
      <c r="H302" s="77" t="s">
        <v>787</v>
      </c>
      <c r="M302" s="269">
        <f t="shared" si="47"/>
        <v>4.8547596771974511E-2</v>
      </c>
      <c r="N302" s="77">
        <f t="shared" si="48"/>
        <v>0.69908539351643295</v>
      </c>
    </row>
    <row r="303" spans="1:14" x14ac:dyDescent="0.35">
      <c r="A303" s="91"/>
      <c r="H303" s="77" t="s">
        <v>882</v>
      </c>
      <c r="M303" s="271">
        <f t="shared" si="47"/>
        <v>0</v>
      </c>
      <c r="N303" s="77">
        <f t="shared" si="48"/>
        <v>0</v>
      </c>
    </row>
    <row r="304" spans="1:14" x14ac:dyDescent="0.35">
      <c r="A304" s="91"/>
      <c r="B304" s="90"/>
      <c r="C304" s="90"/>
      <c r="D304" s="90"/>
      <c r="E304" s="90"/>
      <c r="F304" s="90"/>
      <c r="G304" s="90"/>
      <c r="H304" s="90" t="s">
        <v>877</v>
      </c>
      <c r="I304" s="90"/>
      <c r="J304" s="90"/>
      <c r="K304" s="90"/>
      <c r="L304" s="90"/>
      <c r="M304" s="270">
        <f t="shared" si="47"/>
        <v>0.1900403001818132</v>
      </c>
      <c r="N304" s="90">
        <f t="shared" si="48"/>
        <v>2.73658032261811</v>
      </c>
    </row>
    <row r="305" spans="1:14" x14ac:dyDescent="0.35">
      <c r="A305" s="91"/>
      <c r="B305" s="77" t="s">
        <v>886</v>
      </c>
      <c r="C305" s="77" t="s">
        <v>612</v>
      </c>
      <c r="H305" s="85" t="s">
        <v>885</v>
      </c>
      <c r="M305" s="269">
        <f t="shared" ref="M305:M313" si="49">SUMIFS($M$247:$M$269,$H$247:$H$269,$H305,$E$247:$E$269,$C$305)+SUMIFS($M$238:$M$245,$H$238:$H$245,$H305,$E$238:$E$245,$C$305)</f>
        <v>0</v>
      </c>
      <c r="N305" s="77">
        <f t="shared" si="48"/>
        <v>0</v>
      </c>
    </row>
    <row r="306" spans="1:14" x14ac:dyDescent="0.35">
      <c r="A306" s="91"/>
      <c r="H306" s="85" t="s">
        <v>603</v>
      </c>
      <c r="M306" s="269">
        <f t="shared" si="49"/>
        <v>0</v>
      </c>
      <c r="N306" s="77">
        <f t="shared" si="48"/>
        <v>0</v>
      </c>
    </row>
    <row r="307" spans="1:14" x14ac:dyDescent="0.35">
      <c r="A307" s="91"/>
      <c r="H307" s="85" t="s">
        <v>602</v>
      </c>
      <c r="M307" s="269">
        <f t="shared" si="49"/>
        <v>1.5281333333333334E-2</v>
      </c>
      <c r="N307" s="77">
        <f t="shared" si="48"/>
        <v>0.22005120000000003</v>
      </c>
    </row>
    <row r="308" spans="1:14" x14ac:dyDescent="0.35">
      <c r="A308" s="91"/>
      <c r="H308" s="85" t="s">
        <v>879</v>
      </c>
      <c r="M308" s="269">
        <f t="shared" si="49"/>
        <v>0</v>
      </c>
      <c r="N308" s="77">
        <f t="shared" si="48"/>
        <v>0</v>
      </c>
    </row>
    <row r="309" spans="1:14" x14ac:dyDescent="0.35">
      <c r="A309" s="91"/>
      <c r="H309" s="85" t="s">
        <v>884</v>
      </c>
      <c r="M309" s="269">
        <f t="shared" si="49"/>
        <v>0</v>
      </c>
      <c r="N309" s="77">
        <f t="shared" si="48"/>
        <v>0</v>
      </c>
    </row>
    <row r="310" spans="1:14" x14ac:dyDescent="0.35">
      <c r="A310" s="91"/>
      <c r="H310" s="77" t="s">
        <v>883</v>
      </c>
      <c r="M310" s="269">
        <f t="shared" si="49"/>
        <v>0</v>
      </c>
      <c r="N310" s="77">
        <f t="shared" si="48"/>
        <v>0</v>
      </c>
    </row>
    <row r="311" spans="1:14" x14ac:dyDescent="0.35">
      <c r="A311" s="91"/>
      <c r="H311" s="77" t="s">
        <v>787</v>
      </c>
      <c r="M311" s="269">
        <f t="shared" si="49"/>
        <v>0</v>
      </c>
      <c r="N311" s="77">
        <f t="shared" si="48"/>
        <v>0</v>
      </c>
    </row>
    <row r="312" spans="1:14" x14ac:dyDescent="0.35">
      <c r="A312" s="91"/>
      <c r="H312" s="77" t="s">
        <v>882</v>
      </c>
      <c r="M312" s="269">
        <f t="shared" si="49"/>
        <v>0</v>
      </c>
      <c r="N312" s="77">
        <f t="shared" si="48"/>
        <v>0</v>
      </c>
    </row>
    <row r="313" spans="1:14" x14ac:dyDescent="0.35">
      <c r="A313" s="91"/>
      <c r="H313" s="77" t="s">
        <v>877</v>
      </c>
      <c r="M313" s="269">
        <f t="shared" si="49"/>
        <v>0</v>
      </c>
      <c r="N313" s="77">
        <f t="shared" si="48"/>
        <v>0</v>
      </c>
    </row>
    <row r="314" spans="1:14" x14ac:dyDescent="0.35">
      <c r="A314" s="91"/>
    </row>
    <row r="315" spans="1:14" x14ac:dyDescent="0.35">
      <c r="A315" s="91"/>
    </row>
    <row r="316" spans="1:14" x14ac:dyDescent="0.35">
      <c r="A316" s="91"/>
      <c r="I316" s="77" t="s">
        <v>881</v>
      </c>
      <c r="K316" s="77" t="s">
        <v>880</v>
      </c>
    </row>
    <row r="317" spans="1:14" x14ac:dyDescent="0.35">
      <c r="A317" s="91"/>
      <c r="H317" s="85" t="s">
        <v>603</v>
      </c>
      <c r="I317" s="96">
        <f>SUMIF($H$276:$H$293,$H317,$N$276:$N$293)</f>
        <v>3.4778733395389163</v>
      </c>
      <c r="J317" s="82">
        <f>I317/I$322</f>
        <v>0.43147431896860994</v>
      </c>
      <c r="K317" s="96">
        <f>SUMIF($H$296:$H$313,$H317,$N$296:$N$313)</f>
        <v>1.3753972022880769</v>
      </c>
      <c r="L317" s="82">
        <f>K317/K$322</f>
        <v>0.23691934814044385</v>
      </c>
    </row>
    <row r="318" spans="1:14" x14ac:dyDescent="0.35">
      <c r="H318" s="85" t="s">
        <v>602</v>
      </c>
      <c r="I318" s="96">
        <f>SUMIF($H$276:$H$293,$H318,$N$276:$N$293)</f>
        <v>1.1409395055474105</v>
      </c>
      <c r="J318" s="82">
        <f>I318/I$322</f>
        <v>0.1415480231967611</v>
      </c>
      <c r="K318" s="96">
        <f>SUMIF($H$296:$H$313,$H318,$N$296:$N$313)</f>
        <v>0.98831382874878537</v>
      </c>
      <c r="L318" s="82">
        <f>K318/K$322</f>
        <v>0.17024221633999342</v>
      </c>
    </row>
    <row r="319" spans="1:14" x14ac:dyDescent="0.35">
      <c r="H319" s="85" t="s">
        <v>879</v>
      </c>
      <c r="I319" s="96">
        <f>SUMIF($H$276:$H$293,$H319,$N$276:$N$293)</f>
        <v>5.9625511317149141E-3</v>
      </c>
      <c r="J319" s="82">
        <f>I319/I$322</f>
        <v>7.3973012749604169E-4</v>
      </c>
      <c r="K319" s="96">
        <f>SUMIF($H$296:$H$313,$H319,$N$296:$N$313)</f>
        <v>5.9625511317149141E-3</v>
      </c>
      <c r="L319" s="82">
        <f>K319/K$322</f>
        <v>1.0270805590050088E-3</v>
      </c>
    </row>
    <row r="320" spans="1:14" x14ac:dyDescent="0.35">
      <c r="H320" s="77" t="str">
        <f>H282</f>
        <v>Basic iron and steel</v>
      </c>
      <c r="I320" s="96">
        <f>SUMIF($H$276:$H$293,$H320,$N$276:$N$293)</f>
        <v>0.69908539351643295</v>
      </c>
      <c r="J320" s="82">
        <f>I320/I$322</f>
        <v>8.6730413853540619E-2</v>
      </c>
      <c r="K320" s="96">
        <f>SUMIF($H$296:$H$313,$H320,$N$296:$N$313)</f>
        <v>0.69908539351643295</v>
      </c>
      <c r="L320" s="82">
        <f>K320/K$322</f>
        <v>0.12042110849933838</v>
      </c>
    </row>
    <row r="321" spans="7:12" x14ac:dyDescent="0.35">
      <c r="G321" s="77" t="s">
        <v>878</v>
      </c>
      <c r="H321" s="90" t="s">
        <v>877</v>
      </c>
      <c r="I321" s="96">
        <f>SUMIF($H$276:$H$293,$H321,$N$276:$N$293)</f>
        <v>2.73658032261811</v>
      </c>
      <c r="J321" s="82">
        <f>I321/I$322</f>
        <v>0.33950751385359229</v>
      </c>
      <c r="K321" s="96">
        <f>SUMIF($H$296:$H$313,$H321,$N$296:$N$313)</f>
        <v>2.73658032261811</v>
      </c>
      <c r="L321" s="82">
        <f>K321/K$322</f>
        <v>0.47139024646121935</v>
      </c>
    </row>
    <row r="322" spans="7:12" x14ac:dyDescent="0.35">
      <c r="I322" s="96">
        <f>SUM(I317:I321)</f>
        <v>8.060441112352585</v>
      </c>
      <c r="K322" s="96">
        <f>SUM(K317:K321)</f>
        <v>5.80533929830312</v>
      </c>
    </row>
    <row r="323" spans="7:12" x14ac:dyDescent="0.35">
      <c r="H323" s="77" t="s">
        <v>605</v>
      </c>
    </row>
    <row r="324" spans="7:12" x14ac:dyDescent="0.35">
      <c r="H324" s="77" t="s">
        <v>513</v>
      </c>
      <c r="J324" s="82">
        <f>J317/2</f>
        <v>0.21573715948430497</v>
      </c>
      <c r="L324" s="82">
        <f>L317/2</f>
        <v>0.11845967407022193</v>
      </c>
    </row>
    <row r="325" spans="7:12" x14ac:dyDescent="0.35">
      <c r="H325" s="77" t="s">
        <v>514</v>
      </c>
      <c r="J325" s="85">
        <f>J321</f>
        <v>0.33950751385359229</v>
      </c>
      <c r="L325" s="85">
        <f>L321</f>
        <v>0.47139024646121935</v>
      </c>
    </row>
    <row r="326" spans="7:12" x14ac:dyDescent="0.35">
      <c r="H326" s="77" t="s">
        <v>515</v>
      </c>
      <c r="J326" s="85">
        <f>J318</f>
        <v>0.1415480231967611</v>
      </c>
      <c r="L326" s="85">
        <f>L318</f>
        <v>0.17024221633999342</v>
      </c>
    </row>
    <row r="327" spans="7:12" x14ac:dyDescent="0.35">
      <c r="H327" s="77" t="s">
        <v>276</v>
      </c>
      <c r="J327" s="85">
        <f>J320</f>
        <v>8.6730413853540619E-2</v>
      </c>
      <c r="L327" s="85">
        <f>L320</f>
        <v>0.12042110849933838</v>
      </c>
    </row>
    <row r="328" spans="7:12" x14ac:dyDescent="0.35">
      <c r="H328" s="77" t="s">
        <v>256</v>
      </c>
      <c r="J328" s="82">
        <f>J317/2</f>
        <v>0.21573715948430497</v>
      </c>
      <c r="L328" s="82">
        <f>L317/2</f>
        <v>0.11845967407022193</v>
      </c>
    </row>
  </sheetData>
  <mergeCells count="23">
    <mergeCell ref="C42:D42"/>
    <mergeCell ref="X81:Y81"/>
    <mergeCell ref="Z81:AA81"/>
    <mergeCell ref="X96:Y96"/>
    <mergeCell ref="Z96:AA96"/>
    <mergeCell ref="V96:W96"/>
    <mergeCell ref="M42:N42"/>
    <mergeCell ref="P42:Q42"/>
    <mergeCell ref="V81:W81"/>
    <mergeCell ref="AC166:AF166"/>
    <mergeCell ref="AE81:AH81"/>
    <mergeCell ref="X166:Y166"/>
    <mergeCell ref="Z166:AA166"/>
    <mergeCell ref="S135:U135"/>
    <mergeCell ref="V135:AA135"/>
    <mergeCell ref="X126:Y126"/>
    <mergeCell ref="Z126:AA126"/>
    <mergeCell ref="AB81:AC81"/>
    <mergeCell ref="V112:W112"/>
    <mergeCell ref="AB112:AC112"/>
    <mergeCell ref="AB96:AC96"/>
    <mergeCell ref="X112:Y112"/>
    <mergeCell ref="Z112:AA112"/>
  </mergeCells>
  <conditionalFormatting sqref="E82:M91">
    <cfRule type="expression" dxfId="17" priority="17">
      <formula>$E82=""</formula>
    </cfRule>
    <cfRule type="expression" dxfId="16" priority="18">
      <formula>$E82="N"</formula>
    </cfRule>
  </conditionalFormatting>
  <conditionalFormatting sqref="E97:M106">
    <cfRule type="expression" dxfId="15" priority="13">
      <formula>$E97=""</formula>
    </cfRule>
    <cfRule type="expression" dxfId="14" priority="14">
      <formula>$E97="N"</formula>
    </cfRule>
  </conditionalFormatting>
  <conditionalFormatting sqref="E113:M122">
    <cfRule type="expression" dxfId="13" priority="7">
      <formula>$E113=""</formula>
    </cfRule>
    <cfRule type="expression" dxfId="12" priority="8">
      <formula>$E113="N"</formula>
    </cfRule>
  </conditionalFormatting>
  <conditionalFormatting sqref="E127:M136">
    <cfRule type="expression" dxfId="11" priority="15">
      <formula>$E127=""</formula>
    </cfRule>
    <cfRule type="expression" dxfId="10" priority="16">
      <formula>$E127="N"</formula>
    </cfRule>
  </conditionalFormatting>
  <conditionalFormatting sqref="E167:M176">
    <cfRule type="expression" dxfId="9" priority="11">
      <formula>$E167=""</formula>
    </cfRule>
    <cfRule type="expression" dxfId="8" priority="12">
      <formula>$E167="N"</formula>
    </cfRule>
  </conditionalFormatting>
  <conditionalFormatting sqref="E182:M192">
    <cfRule type="expression" dxfId="7" priority="5">
      <formula>$E182=""</formula>
    </cfRule>
    <cfRule type="expression" dxfId="6" priority="6">
      <formula>$E182="N"</formula>
    </cfRule>
  </conditionalFormatting>
  <conditionalFormatting sqref="E198:M207">
    <cfRule type="expression" dxfId="5" priority="9">
      <formula>$E198=""</formula>
    </cfRule>
    <cfRule type="expression" dxfId="4" priority="10">
      <formula>$E198="N"</formula>
    </cfRule>
  </conditionalFormatting>
  <conditionalFormatting sqref="E224:M227">
    <cfRule type="expression" dxfId="3" priority="3">
      <formula>$E224=""</formula>
    </cfRule>
    <cfRule type="expression" dxfId="2" priority="4">
      <formula>$E224="N"</formula>
    </cfRule>
  </conditionalFormatting>
  <conditionalFormatting sqref="E229:M231 E232:G234 I232:M234 E235:M236 E238:G238 I238:M238 E239:M239 H240 E240:G244 I240:M244 E245:M245 E247:M247 E249:M250 E251:G251 I251:M251 E252:M253 E255:M255 E256:G257 I256:M257 E258:M264 E266:M266 E267:G267 I267:M267 E268:M269">
    <cfRule type="expression" dxfId="1" priority="1">
      <formula>$E229=""</formula>
    </cfRule>
    <cfRule type="expression" dxfId="0" priority="2">
      <formula>$E229="N"</formula>
    </cfRule>
  </conditionalFormatting>
  <dataValidations count="3">
    <dataValidation type="list" allowBlank="1" showInputMessage="1" showErrorMessage="1" sqref="J127:J136 J167:J176" xr:uid="{22701E67-9E88-42D7-8B3F-6954E90F73B5}">
      <formula1>"E,C,US"</formula1>
    </dataValidation>
    <dataValidation type="list" allowBlank="1" showInputMessage="1" showErrorMessage="1" sqref="J113:J121 J97:J105 J82:J90 J198:J206 J182:J191" xr:uid="{E566C3E4-A135-4B88-B562-41554F374F9A}">
      <formula1>"E,C"</formula1>
    </dataValidation>
    <dataValidation type="list" allowBlank="1" showInputMessage="1" showErrorMessage="1" sqref="E82:F91 E97:F106 E127:F136 E167:F176 E113:F122 E198:F207 E182:F192" xr:uid="{7A87F751-75D6-46F4-A87F-8A79C02D5450}">
      <formula1>"Y,N"</formula1>
    </dataValidation>
  </dataValidations>
  <hyperlinks>
    <hyperlink ref="W127" r:id="rId1" xr:uid="{167C0FFF-810B-4746-A033-616C433E70A6}"/>
    <hyperlink ref="W82" r:id="rId2" xr:uid="{F43DC8B9-E4E9-45BA-A03D-8489B3166E89}"/>
    <hyperlink ref="AA85" r:id="rId3" xr:uid="{2D894777-4ED8-4C0F-A8FF-28286C773EFB}"/>
    <hyperlink ref="Y100" r:id="rId4" xr:uid="{944A8177-22B8-4D18-BA79-2597148F8BBD}"/>
    <hyperlink ref="Y127" r:id="rId5" xr:uid="{DB8C30D8-A93B-484F-A881-FDBCD1FE8888}"/>
    <hyperlink ref="Y116" r:id="rId6" xr:uid="{1B17E818-5FF8-4E6B-8526-746DA17FDA5B}"/>
    <hyperlink ref="W182" r:id="rId7" xr:uid="{8A08C710-0CCA-4447-B28A-D92CEB0B0F49}"/>
  </hyperlinks>
  <pageMargins left="0.7" right="0.7" top="0.75" bottom="0.75" header="0.3" footer="0.3"/>
  <pageSetup orientation="portrait" r:id="rId8"/>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2710B-D2D9-47DA-982A-FC7B56350D2F}">
  <sheetPr codeName="Sheet7">
    <tabColor theme="7"/>
  </sheetPr>
  <dimension ref="C1:AI76"/>
  <sheetViews>
    <sheetView workbookViewId="0"/>
  </sheetViews>
  <sheetFormatPr defaultRowHeight="15" x14ac:dyDescent="0.25"/>
  <cols>
    <col min="1" max="14" width="9.140625" style="69"/>
    <col min="15" max="15" width="30" style="69" customWidth="1"/>
    <col min="16" max="16" width="13.85546875" style="69" customWidth="1"/>
    <col min="17" max="16384" width="9.140625" style="69"/>
  </cols>
  <sheetData>
    <row r="1" spans="3:23" x14ac:dyDescent="0.25">
      <c r="O1" s="69" t="s">
        <v>558</v>
      </c>
      <c r="V1" s="69" t="s">
        <v>294</v>
      </c>
      <c r="W1" s="69">
        <v>3.0000000000000001E-5</v>
      </c>
    </row>
    <row r="2" spans="3:23" x14ac:dyDescent="0.25">
      <c r="V2" s="69" t="s">
        <v>292</v>
      </c>
      <c r="W2" s="69">
        <v>0</v>
      </c>
    </row>
    <row r="3" spans="3:23" x14ac:dyDescent="0.25">
      <c r="C3" s="69" t="s">
        <v>557</v>
      </c>
      <c r="V3" s="69" t="s">
        <v>288</v>
      </c>
      <c r="W3" s="69">
        <v>0</v>
      </c>
    </row>
    <row r="4" spans="3:23" x14ac:dyDescent="0.25">
      <c r="V4" s="69" t="s">
        <v>556</v>
      </c>
      <c r="W4" s="69">
        <v>1.8799999999999999E-3</v>
      </c>
    </row>
    <row r="5" spans="3:23" x14ac:dyDescent="0.25">
      <c r="V5" s="69" t="s">
        <v>555</v>
      </c>
      <c r="W5" s="69">
        <v>6.2E-4</v>
      </c>
    </row>
    <row r="6" spans="3:23" x14ac:dyDescent="0.25">
      <c r="V6" s="69" t="s">
        <v>282</v>
      </c>
      <c r="W6" s="69">
        <v>1.0000000000000001E-5</v>
      </c>
    </row>
    <row r="7" spans="3:23" x14ac:dyDescent="0.25">
      <c r="V7" s="69" t="s">
        <v>281</v>
      </c>
      <c r="W7" s="69">
        <v>1.0000000000000001E-5</v>
      </c>
    </row>
    <row r="8" spans="3:23" x14ac:dyDescent="0.25">
      <c r="V8" s="69" t="s">
        <v>279</v>
      </c>
      <c r="W8" s="69">
        <v>3.0000000000000001E-5</v>
      </c>
    </row>
    <row r="9" spans="3:23" x14ac:dyDescent="0.25">
      <c r="V9" s="69" t="s">
        <v>277</v>
      </c>
      <c r="W9" s="69">
        <v>1.5200000000000001E-3</v>
      </c>
    </row>
    <row r="10" spans="3:23" x14ac:dyDescent="0.25">
      <c r="V10" s="69" t="s">
        <v>276</v>
      </c>
      <c r="W10" s="69">
        <v>2.7000000000000001E-3</v>
      </c>
    </row>
    <row r="11" spans="3:23" x14ac:dyDescent="0.25">
      <c r="V11" s="69" t="s">
        <v>514</v>
      </c>
      <c r="W11" s="69">
        <v>0.17191000000000001</v>
      </c>
    </row>
    <row r="12" spans="3:23" x14ac:dyDescent="0.25">
      <c r="O12" s="69" t="s">
        <v>554</v>
      </c>
      <c r="V12" s="69" t="s">
        <v>515</v>
      </c>
      <c r="W12" s="69">
        <v>7.2400000000000006E-2</v>
      </c>
    </row>
    <row r="13" spans="3:23" x14ac:dyDescent="0.25">
      <c r="O13" s="69" t="s">
        <v>553</v>
      </c>
      <c r="P13" s="69" t="s">
        <v>552</v>
      </c>
      <c r="V13" s="69" t="s">
        <v>273</v>
      </c>
      <c r="W13" s="69">
        <v>3.6269999999999997E-2</v>
      </c>
    </row>
    <row r="14" spans="3:23" x14ac:dyDescent="0.25">
      <c r="O14" s="69" t="s">
        <v>551</v>
      </c>
      <c r="P14" s="69" t="s">
        <v>514</v>
      </c>
      <c r="V14" s="69" t="s">
        <v>272</v>
      </c>
      <c r="W14" s="69">
        <v>0.11017</v>
      </c>
    </row>
    <row r="15" spans="3:23" x14ac:dyDescent="0.25">
      <c r="O15" s="69" t="s">
        <v>550</v>
      </c>
      <c r="P15" s="69" t="s">
        <v>515</v>
      </c>
      <c r="V15" s="69" t="s">
        <v>271</v>
      </c>
      <c r="W15" s="69">
        <v>1.2959999999999999E-2</v>
      </c>
    </row>
    <row r="16" spans="3:23" x14ac:dyDescent="0.25">
      <c r="O16" s="69" t="s">
        <v>549</v>
      </c>
      <c r="P16" s="69" t="s">
        <v>513</v>
      </c>
      <c r="V16" s="69" t="s">
        <v>270</v>
      </c>
      <c r="W16" s="69">
        <v>2.6179999999999998E-2</v>
      </c>
    </row>
    <row r="17" spans="3:23" x14ac:dyDescent="0.25">
      <c r="O17" s="69" t="s">
        <v>548</v>
      </c>
      <c r="V17" s="69" t="s">
        <v>269</v>
      </c>
      <c r="W17" s="69">
        <v>1.75E-3</v>
      </c>
    </row>
    <row r="18" spans="3:23" x14ac:dyDescent="0.25">
      <c r="O18" s="69" t="s">
        <v>547</v>
      </c>
      <c r="P18" s="69" t="s">
        <v>515</v>
      </c>
      <c r="V18" s="69" t="s">
        <v>513</v>
      </c>
      <c r="W18" s="69">
        <v>0.48737000000000003</v>
      </c>
    </row>
    <row r="19" spans="3:23" x14ac:dyDescent="0.25">
      <c r="O19" s="69" t="s">
        <v>539</v>
      </c>
      <c r="P19" s="69" t="s">
        <v>513</v>
      </c>
      <c r="V19" s="69" t="s">
        <v>256</v>
      </c>
      <c r="W19" s="69">
        <v>7.4209999999999998E-2</v>
      </c>
    </row>
    <row r="20" spans="3:23" x14ac:dyDescent="0.25">
      <c r="O20" s="69" t="s">
        <v>546</v>
      </c>
    </row>
    <row r="32" spans="3:23" x14ac:dyDescent="0.25">
      <c r="C32" s="19" t="s">
        <v>545</v>
      </c>
      <c r="S32" s="69">
        <v>1.6</v>
      </c>
    </row>
    <row r="33" spans="16:35" x14ac:dyDescent="0.25">
      <c r="R33" s="69" t="s">
        <v>544</v>
      </c>
      <c r="S33" s="69" t="s">
        <v>543</v>
      </c>
    </row>
    <row r="34" spans="16:35" x14ac:dyDescent="0.25">
      <c r="P34" s="69" t="s">
        <v>542</v>
      </c>
      <c r="Q34" s="69" t="s">
        <v>514</v>
      </c>
      <c r="R34" s="69">
        <v>0.4</v>
      </c>
      <c r="S34" s="69">
        <v>0.4</v>
      </c>
      <c r="W34" s="69" t="s">
        <v>541</v>
      </c>
    </row>
    <row r="35" spans="16:35" x14ac:dyDescent="0.25">
      <c r="P35" s="69" t="s">
        <v>540</v>
      </c>
      <c r="Q35" s="69" t="s">
        <v>515</v>
      </c>
      <c r="R35" s="69">
        <v>0.05</v>
      </c>
      <c r="S35" s="69">
        <f>R35</f>
        <v>0.05</v>
      </c>
    </row>
    <row r="36" spans="16:35" x14ac:dyDescent="0.25">
      <c r="P36" s="69" t="s">
        <v>539</v>
      </c>
      <c r="Q36" s="69" t="s">
        <v>513</v>
      </c>
      <c r="R36" s="69">
        <v>0.12</v>
      </c>
      <c r="S36" s="69">
        <f>R36*S$32</f>
        <v>0.192</v>
      </c>
    </row>
    <row r="37" spans="16:35" x14ac:dyDescent="0.25">
      <c r="P37" s="69" t="s">
        <v>538</v>
      </c>
      <c r="Q37" s="69" t="s">
        <v>515</v>
      </c>
      <c r="R37" s="69">
        <f>0.07+0.05</f>
        <v>0.12000000000000001</v>
      </c>
      <c r="S37" s="69">
        <f>R37*S$32</f>
        <v>0.19200000000000003</v>
      </c>
    </row>
    <row r="38" spans="16:35" x14ac:dyDescent="0.25">
      <c r="P38" s="69" t="s">
        <v>537</v>
      </c>
      <c r="Q38" s="69" t="s">
        <v>513</v>
      </c>
      <c r="R38" s="69">
        <v>0.11</v>
      </c>
      <c r="S38" s="69">
        <f>R38*S$32</f>
        <v>0.17600000000000002</v>
      </c>
    </row>
    <row r="39" spans="16:35" x14ac:dyDescent="0.25">
      <c r="P39" s="69" t="s">
        <v>504</v>
      </c>
      <c r="Q39" s="69" t="s">
        <v>276</v>
      </c>
    </row>
    <row r="40" spans="16:35" x14ac:dyDescent="0.25">
      <c r="P40" s="69" t="s">
        <v>536</v>
      </c>
      <c r="Q40" s="69" t="s">
        <v>256</v>
      </c>
      <c r="R40" s="69">
        <f>1-SUM(R34:R38)</f>
        <v>0.19999999999999996</v>
      </c>
      <c r="S40" s="69">
        <f>R40*S$32</f>
        <v>0.31999999999999995</v>
      </c>
    </row>
    <row r="42" spans="16:35" x14ac:dyDescent="0.25">
      <c r="R42" s="69">
        <f>SUM(R34:R40)</f>
        <v>1</v>
      </c>
      <c r="S42" s="69">
        <f>SUM(S34:S40)</f>
        <v>1.33</v>
      </c>
    </row>
    <row r="43" spans="16:35" x14ac:dyDescent="0.25">
      <c r="AH43" s="69" t="str">
        <f>Q46</f>
        <v>cmach_e</v>
      </c>
      <c r="AI43" s="69">
        <v>313</v>
      </c>
    </row>
    <row r="44" spans="16:35" x14ac:dyDescent="0.25">
      <c r="R44" s="69" t="str">
        <f>R33</f>
        <v>PV Util</v>
      </c>
      <c r="S44" s="69" t="str">
        <f>S33</f>
        <v>PV rooftop</v>
      </c>
      <c r="T44" s="69" t="s">
        <v>160</v>
      </c>
      <c r="U44" s="69" t="s">
        <v>535</v>
      </c>
      <c r="AH44" s="69" t="str">
        <f>AH43</f>
        <v>cmach_e</v>
      </c>
      <c r="AI44" s="69">
        <v>512</v>
      </c>
    </row>
    <row r="45" spans="16:35" x14ac:dyDescent="0.25">
      <c r="Q45" s="69" t="str">
        <f>Q36</f>
        <v>ccons_e</v>
      </c>
      <c r="R45" s="70">
        <f>SUMIF($Q$34:$Q$40,$Q45,R$34:R$40)/R$42</f>
        <v>0.22999999999999998</v>
      </c>
      <c r="S45" s="70">
        <f>SUMIF($Q$34:$Q$40,$Q45,S$34:S$40)/S$42</f>
        <v>0.27669172932330827</v>
      </c>
      <c r="T45" s="70">
        <f>SUMIF($AH$43:$AH$55,$Q45,AI$43:AI$55)/AI$56</f>
        <v>7.9289131920710867E-2</v>
      </c>
      <c r="U45" s="70">
        <f>SUMIF($P$68:$P$75,$Q45,Q$68:Q$75)/Q$76</f>
        <v>5.4200542005420058E-2</v>
      </c>
      <c r="AH45" s="69" t="str">
        <f>Q48</f>
        <v>cmetp</v>
      </c>
      <c r="AI45" s="69">
        <v>204</v>
      </c>
    </row>
    <row r="46" spans="16:35" x14ac:dyDescent="0.25">
      <c r="Q46" s="69" t="str">
        <f>Q34</f>
        <v>cmach_e</v>
      </c>
      <c r="R46" s="70">
        <f t="shared" ref="R46:S49" si="0">SUMIF($Q$34:$Q$40,$Q46,R$34:R$40)/R$42</f>
        <v>0.4</v>
      </c>
      <c r="S46" s="70">
        <f t="shared" si="0"/>
        <v>0.3007518796992481</v>
      </c>
      <c r="T46" s="70">
        <f>SUMIF($AH$43:$AH$55,$Q46,AI$43:AI$55)/AI$56</f>
        <v>0.56390977443609025</v>
      </c>
      <c r="U46" s="70">
        <f>SUMIF($P$68:$P$75,$Q46,Q$68:Q$75)/Q$76</f>
        <v>0.58265582655826553</v>
      </c>
    </row>
    <row r="47" spans="16:35" x14ac:dyDescent="0.25">
      <c r="Q47" s="69" t="str">
        <f>Q35</f>
        <v>cemch_e</v>
      </c>
      <c r="R47" s="70">
        <f t="shared" si="0"/>
        <v>0.17</v>
      </c>
      <c r="S47" s="70">
        <f t="shared" si="0"/>
        <v>0.18195488721804515</v>
      </c>
      <c r="T47" s="70">
        <f>SUMIF($AH$43:$AH$55,$Q47,AI$43:AI$55)/AI$56</f>
        <v>9.0225563909774431E-2</v>
      </c>
      <c r="U47" s="70">
        <f>SUMIF($P$68:$P$75,$Q47,Q$68:Q$75)/Q$76</f>
        <v>0.15176151761517614</v>
      </c>
      <c r="AH47" s="69" t="str">
        <f>Q49</f>
        <v>cbsrv</v>
      </c>
      <c r="AI47" s="69">
        <v>23</v>
      </c>
    </row>
    <row r="48" spans="16:35" x14ac:dyDescent="0.25">
      <c r="Q48" s="69" t="str">
        <f>Q39</f>
        <v>cmetp</v>
      </c>
      <c r="R48" s="70">
        <f t="shared" si="0"/>
        <v>0</v>
      </c>
      <c r="S48" s="70">
        <f t="shared" si="0"/>
        <v>0</v>
      </c>
      <c r="T48" s="70">
        <f>SUMIF($AH$43:$AH$55,$Q48,AI$43:AI$55)/AI$56</f>
        <v>0.1394395078605605</v>
      </c>
      <c r="U48" s="70">
        <f>SUMIF($P$68:$P$75,$Q48,Q$68:Q$75)/Q$76</f>
        <v>0</v>
      </c>
      <c r="AH48" s="69" t="str">
        <f>AH47</f>
        <v>cbsrv</v>
      </c>
      <c r="AI48" s="69">
        <v>10</v>
      </c>
    </row>
    <row r="49" spans="17:35" x14ac:dyDescent="0.25">
      <c r="Q49" s="69" t="str">
        <f>Q40</f>
        <v>cbsrv</v>
      </c>
      <c r="R49" s="70">
        <f t="shared" si="0"/>
        <v>0.19999999999999996</v>
      </c>
      <c r="S49" s="70">
        <f t="shared" si="0"/>
        <v>0.24060150375939846</v>
      </c>
      <c r="T49" s="70">
        <f>SUMIF($AH$43:$AH$55,$Q49,AI$43:AI$55)/AI$56</f>
        <v>0.12713602187286399</v>
      </c>
      <c r="U49" s="70">
        <f>SUMIF($P$68:$P$75,$Q49,Q$68:Q$75)/Q$76</f>
        <v>0.21138211382113822</v>
      </c>
      <c r="AH49" s="69" t="str">
        <f>Q45</f>
        <v>ccons_e</v>
      </c>
      <c r="AI49" s="69">
        <v>75</v>
      </c>
    </row>
    <row r="50" spans="17:35" x14ac:dyDescent="0.25">
      <c r="AH50" s="69" t="str">
        <f>AH47</f>
        <v>cbsrv</v>
      </c>
      <c r="AI50" s="69">
        <v>40</v>
      </c>
    </row>
    <row r="51" spans="17:35" x14ac:dyDescent="0.25">
      <c r="AH51" s="69" t="str">
        <f>Q45</f>
        <v>ccons_e</v>
      </c>
      <c r="AI51" s="69">
        <v>41</v>
      </c>
    </row>
    <row r="52" spans="17:35" x14ac:dyDescent="0.25">
      <c r="AH52" s="69" t="str">
        <f>Q47</f>
        <v>cemch_e</v>
      </c>
      <c r="AI52" s="69">
        <v>132</v>
      </c>
    </row>
    <row r="53" spans="17:35" x14ac:dyDescent="0.25">
      <c r="R53" s="70"/>
      <c r="S53" s="70"/>
      <c r="T53" s="70"/>
      <c r="U53" s="70"/>
      <c r="V53" s="75"/>
    </row>
    <row r="54" spans="17:35" x14ac:dyDescent="0.25">
      <c r="R54" s="70"/>
      <c r="S54" s="70"/>
      <c r="T54" s="70"/>
      <c r="U54" s="70"/>
      <c r="V54" s="75"/>
      <c r="AH54" s="69" t="str">
        <f>AH48</f>
        <v>cbsrv</v>
      </c>
      <c r="AI54" s="69">
        <v>23</v>
      </c>
    </row>
    <row r="55" spans="17:35" x14ac:dyDescent="0.25">
      <c r="R55" s="70"/>
      <c r="S55" s="70"/>
      <c r="T55" s="70"/>
      <c r="U55" s="70"/>
      <c r="V55" s="75"/>
      <c r="AH55" s="69" t="str">
        <f>AH48</f>
        <v>cbsrv</v>
      </c>
      <c r="AI55" s="69">
        <v>90</v>
      </c>
    </row>
    <row r="56" spans="17:35" x14ac:dyDescent="0.25">
      <c r="R56" s="70"/>
      <c r="S56" s="70"/>
      <c r="T56" s="70"/>
      <c r="U56" s="70"/>
      <c r="V56" s="75"/>
      <c r="AI56" s="69">
        <f>SUM(AI43:AI55)</f>
        <v>1463</v>
      </c>
    </row>
    <row r="57" spans="17:35" x14ac:dyDescent="0.25">
      <c r="R57" s="70"/>
      <c r="S57" s="70"/>
      <c r="T57" s="70"/>
      <c r="U57" s="70"/>
    </row>
    <row r="66" spans="6:17" x14ac:dyDescent="0.25">
      <c r="F66" s="69" t="s">
        <v>534</v>
      </c>
    </row>
    <row r="67" spans="6:17" x14ac:dyDescent="0.25">
      <c r="Q67" s="69" t="s">
        <v>533</v>
      </c>
    </row>
    <row r="68" spans="6:17" x14ac:dyDescent="0.25">
      <c r="P68" s="69" t="str">
        <f>Q49</f>
        <v>cbsrv</v>
      </c>
      <c r="Q68" s="69">
        <v>52</v>
      </c>
    </row>
    <row r="69" spans="6:17" x14ac:dyDescent="0.25">
      <c r="P69" s="69" t="str">
        <f>P68</f>
        <v>cbsrv</v>
      </c>
      <c r="Q69" s="69">
        <v>16</v>
      </c>
    </row>
    <row r="70" spans="6:17" x14ac:dyDescent="0.25">
      <c r="P70" s="69" t="str">
        <f>P69</f>
        <v>cbsrv</v>
      </c>
      <c r="Q70" s="69">
        <v>10</v>
      </c>
    </row>
    <row r="71" spans="6:17" x14ac:dyDescent="0.25">
      <c r="P71" s="69" t="str">
        <f>Q45</f>
        <v>ccons_e</v>
      </c>
      <c r="Q71" s="69">
        <v>17</v>
      </c>
    </row>
    <row r="72" spans="6:17" x14ac:dyDescent="0.25">
      <c r="P72" s="69" t="str">
        <f>Q47</f>
        <v>cemch_e</v>
      </c>
      <c r="Q72" s="69">
        <v>37</v>
      </c>
    </row>
    <row r="73" spans="6:17" x14ac:dyDescent="0.25">
      <c r="P73" s="69" t="str">
        <f>P71</f>
        <v>ccons_e</v>
      </c>
      <c r="Q73" s="69">
        <v>3</v>
      </c>
    </row>
    <row r="74" spans="6:17" x14ac:dyDescent="0.25">
      <c r="P74" s="69" t="str">
        <f>Q47</f>
        <v>cemch_e</v>
      </c>
      <c r="Q74" s="69">
        <v>19</v>
      </c>
    </row>
    <row r="75" spans="6:17" x14ac:dyDescent="0.25">
      <c r="P75" s="69" t="str">
        <f>Q46</f>
        <v>cmach_e</v>
      </c>
      <c r="Q75" s="69">
        <v>215</v>
      </c>
    </row>
    <row r="76" spans="6:17" x14ac:dyDescent="0.25">
      <c r="Q76" s="69">
        <f>SUM(Q68:Q75)</f>
        <v>369</v>
      </c>
    </row>
  </sheetData>
  <hyperlinks>
    <hyperlink ref="C32" r:id="rId1" xr:uid="{34553648-6A67-4D3B-A436-5B760893418D}"/>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5B728-7BAF-4E47-82E3-8ED01CDD06EC}">
  <sheetPr>
    <tabColor theme="7"/>
  </sheetPr>
  <dimension ref="A1:J27"/>
  <sheetViews>
    <sheetView workbookViewId="0"/>
  </sheetViews>
  <sheetFormatPr defaultRowHeight="12.75" x14ac:dyDescent="0.2"/>
  <cols>
    <col min="1" max="1" width="99.28515625" bestFit="1" customWidth="1"/>
  </cols>
  <sheetData>
    <row r="1" spans="1:10" ht="20.25" thickBot="1" x14ac:dyDescent="0.35">
      <c r="A1" s="379" t="s">
        <v>1140</v>
      </c>
      <c r="B1" s="379"/>
      <c r="C1" s="379"/>
      <c r="D1" s="379"/>
      <c r="E1" s="379"/>
      <c r="F1" s="379"/>
      <c r="G1" s="379"/>
    </row>
    <row r="2" spans="1:10" ht="13.5" thickTop="1" x14ac:dyDescent="0.2"/>
    <row r="3" spans="1:10" ht="18" thickBot="1" x14ac:dyDescent="0.35">
      <c r="A3" s="380" t="s">
        <v>1141</v>
      </c>
    </row>
    <row r="4" spans="1:10" ht="77.25" thickTop="1" x14ac:dyDescent="0.2">
      <c r="B4" s="1" t="s">
        <v>1142</v>
      </c>
      <c r="C4" s="381" t="s">
        <v>1143</v>
      </c>
      <c r="D4" s="381" t="s">
        <v>1144</v>
      </c>
      <c r="E4" s="381" t="s">
        <v>1145</v>
      </c>
      <c r="F4" s="381" t="s">
        <v>1146</v>
      </c>
      <c r="G4" s="382" t="s">
        <v>1147</v>
      </c>
      <c r="H4" s="383" t="s">
        <v>1148</v>
      </c>
    </row>
    <row r="5" spans="1:10" x14ac:dyDescent="0.2">
      <c r="A5" s="66" t="s">
        <v>1149</v>
      </c>
    </row>
    <row r="6" spans="1:10" ht="15" x14ac:dyDescent="0.25">
      <c r="A6" s="66" t="s">
        <v>1150</v>
      </c>
      <c r="B6" s="1"/>
      <c r="C6" s="384">
        <v>0.79318121894331206</v>
      </c>
      <c r="D6" s="385"/>
      <c r="E6" s="384">
        <v>0.8</v>
      </c>
      <c r="F6" s="384">
        <v>0.91222049555382889</v>
      </c>
      <c r="G6" s="386">
        <v>0.8</v>
      </c>
      <c r="H6" s="1"/>
    </row>
    <row r="7" spans="1:10" ht="15" x14ac:dyDescent="0.25">
      <c r="A7" s="387" t="s">
        <v>1151</v>
      </c>
      <c r="C7" s="388">
        <v>0.68507942350468476</v>
      </c>
      <c r="D7" s="389"/>
      <c r="E7" s="388">
        <v>0.7263795890503022</v>
      </c>
      <c r="F7" s="388">
        <v>0.83717812216570053</v>
      </c>
      <c r="G7" s="390">
        <v>0.75</v>
      </c>
      <c r="H7" s="1"/>
    </row>
    <row r="8" spans="1:10" ht="15" x14ac:dyDescent="0.25">
      <c r="A8" s="391" t="s">
        <v>1152</v>
      </c>
      <c r="B8">
        <v>21</v>
      </c>
      <c r="C8" s="392">
        <v>0.255587197512747</v>
      </c>
      <c r="D8" s="392">
        <v>0.245</v>
      </c>
      <c r="E8" s="392">
        <v>0.26417602645168986</v>
      </c>
      <c r="F8" s="393">
        <v>0.20957136128120585</v>
      </c>
      <c r="G8" s="394">
        <v>0.24499999999999988</v>
      </c>
      <c r="H8" s="395">
        <v>0.14699999999999994</v>
      </c>
      <c r="J8" t="s">
        <v>513</v>
      </c>
    </row>
    <row r="9" spans="1:10" ht="15" x14ac:dyDescent="0.25">
      <c r="A9" s="391" t="s">
        <v>1153</v>
      </c>
      <c r="B9">
        <v>22</v>
      </c>
      <c r="C9" s="392">
        <v>0.28916345492509982</v>
      </c>
      <c r="D9" s="392">
        <v>0.31336142322097377</v>
      </c>
      <c r="E9" s="392">
        <v>0.28365444314858868</v>
      </c>
      <c r="F9" s="393">
        <v>0.39513895430993878</v>
      </c>
      <c r="G9" s="394">
        <v>0.32</v>
      </c>
      <c r="H9" s="395">
        <v>0.192</v>
      </c>
      <c r="J9" t="s">
        <v>514</v>
      </c>
    </row>
    <row r="10" spans="1:10" ht="15" x14ac:dyDescent="0.25">
      <c r="A10" s="391" t="s">
        <v>1154</v>
      </c>
      <c r="B10">
        <v>23</v>
      </c>
      <c r="C10" s="392">
        <v>0.1951378323230144</v>
      </c>
      <c r="D10" s="392">
        <v>0.22527153558052435</v>
      </c>
      <c r="E10" s="392">
        <v>0.24956721392901576</v>
      </c>
      <c r="F10" s="393">
        <v>0.21326424870466321</v>
      </c>
      <c r="G10" s="394">
        <v>0.23</v>
      </c>
      <c r="H10" s="395">
        <v>0.13800000000000001</v>
      </c>
      <c r="J10" t="s">
        <v>514</v>
      </c>
    </row>
    <row r="11" spans="1:10" ht="15" x14ac:dyDescent="0.25">
      <c r="A11" s="391" t="s">
        <v>1155</v>
      </c>
      <c r="B11">
        <v>24</v>
      </c>
      <c r="C11" s="392">
        <v>0.14115403839369708</v>
      </c>
      <c r="D11" s="392">
        <v>7.8455056179775273E-2</v>
      </c>
      <c r="E11" s="392">
        <v>7.7913666787595162E-2</v>
      </c>
      <c r="F11" s="393">
        <v>5.7239755063589262E-2</v>
      </c>
      <c r="G11" s="396">
        <v>7.4999999999999997E-2</v>
      </c>
      <c r="H11" s="395">
        <v>4.4999999999999998E-2</v>
      </c>
      <c r="J11" t="s">
        <v>515</v>
      </c>
    </row>
    <row r="12" spans="1:10" ht="15" x14ac:dyDescent="0.25">
      <c r="A12" s="391" t="s">
        <v>1156</v>
      </c>
      <c r="B12">
        <v>25</v>
      </c>
      <c r="C12" s="397">
        <v>5.6236756797099455E-2</v>
      </c>
      <c r="D12" s="392">
        <v>6.8820224719101125E-2</v>
      </c>
      <c r="E12" s="392">
        <v>5.4783046960027851E-2</v>
      </c>
      <c r="F12" s="393">
        <v>5.7239755063589262E-2</v>
      </c>
      <c r="G12" s="394">
        <v>0.06</v>
      </c>
      <c r="H12" s="395">
        <v>3.5999999999999997E-2</v>
      </c>
      <c r="J12" t="s">
        <v>514</v>
      </c>
    </row>
    <row r="13" spans="1:10" ht="15" x14ac:dyDescent="0.25">
      <c r="A13" s="391" t="s">
        <v>1157</v>
      </c>
      <c r="B13">
        <v>26</v>
      </c>
      <c r="C13" s="397">
        <v>4.6370659113397807E-2</v>
      </c>
      <c r="D13" s="392">
        <v>4.9091760299625468E-2</v>
      </c>
      <c r="E13" s="392">
        <v>4.9913442785803154E-2</v>
      </c>
      <c r="F13" s="393">
        <v>4.7545925577013662E-2</v>
      </c>
      <c r="G13" s="394">
        <v>0.05</v>
      </c>
      <c r="H13" s="395">
        <v>3.0000000000000006E-2</v>
      </c>
      <c r="J13" t="s">
        <v>514</v>
      </c>
    </row>
    <row r="14" spans="1:10" ht="15" x14ac:dyDescent="0.25">
      <c r="A14" s="391" t="s">
        <v>1158</v>
      </c>
      <c r="B14" s="1" t="s">
        <v>1159</v>
      </c>
      <c r="C14" s="397">
        <v>1.635006093494442E-2</v>
      </c>
      <c r="D14" s="397">
        <v>0.02</v>
      </c>
      <c r="E14" s="397">
        <v>1.9992159937279499E-2</v>
      </c>
      <c r="F14" s="397">
        <v>2.0000000000000004E-2</v>
      </c>
      <c r="G14" s="394">
        <v>0.02</v>
      </c>
      <c r="H14" s="395">
        <v>1.2E-2</v>
      </c>
      <c r="J14" t="s">
        <v>256</v>
      </c>
    </row>
    <row r="15" spans="1:10" ht="15" x14ac:dyDescent="0.25">
      <c r="A15" s="387" t="s">
        <v>1160</v>
      </c>
      <c r="C15" s="398">
        <v>0.31492057649531519</v>
      </c>
      <c r="D15" s="399"/>
      <c r="E15" s="388">
        <v>0.27362041094969775</v>
      </c>
      <c r="F15" s="388">
        <v>0.1944889307583608</v>
      </c>
      <c r="G15" s="390">
        <v>0.25</v>
      </c>
      <c r="H15" s="400"/>
    </row>
    <row r="16" spans="1:10" ht="15" x14ac:dyDescent="0.25">
      <c r="A16" s="391" t="s">
        <v>1161</v>
      </c>
      <c r="B16" s="1" t="s">
        <v>1162</v>
      </c>
      <c r="C16" s="392">
        <v>0.34289449990843945</v>
      </c>
      <c r="D16" s="401"/>
      <c r="E16" s="392">
        <v>0.56233881236628291</v>
      </c>
      <c r="F16" s="393">
        <v>0.36313877452167598</v>
      </c>
      <c r="G16" s="394">
        <v>0.4</v>
      </c>
      <c r="H16" s="395">
        <v>8.0000000000000016E-2</v>
      </c>
      <c r="J16" t="s">
        <v>256</v>
      </c>
    </row>
    <row r="17" spans="1:10" ht="15" x14ac:dyDescent="0.25">
      <c r="A17" s="391" t="s">
        <v>1052</v>
      </c>
      <c r="B17" s="1" t="s">
        <v>1163</v>
      </c>
      <c r="C17" s="392">
        <v>0.3385880542555707</v>
      </c>
      <c r="D17" s="401"/>
      <c r="E17" s="392">
        <v>0.16159161274893186</v>
      </c>
      <c r="F17" s="393">
        <v>0.25395979656091067</v>
      </c>
      <c r="G17" s="394">
        <v>0.25</v>
      </c>
      <c r="H17" s="395">
        <v>0.05</v>
      </c>
      <c r="J17" t="s">
        <v>256</v>
      </c>
    </row>
    <row r="18" spans="1:10" ht="15" x14ac:dyDescent="0.25">
      <c r="A18" s="391" t="s">
        <v>1164</v>
      </c>
      <c r="B18" s="1" t="s">
        <v>1165</v>
      </c>
      <c r="C18" s="392">
        <v>7.1135969864102033E-2</v>
      </c>
      <c r="D18" s="401"/>
      <c r="E18" s="397">
        <v>5.3073149291259183E-2</v>
      </c>
      <c r="F18" s="397">
        <v>0.10283361588762413</v>
      </c>
      <c r="G18" s="394">
        <v>9.9999999999999978E-2</v>
      </c>
      <c r="H18" s="395">
        <v>1.9999999999999997E-2</v>
      </c>
      <c r="J18" t="s">
        <v>256</v>
      </c>
    </row>
    <row r="19" spans="1:10" ht="15" x14ac:dyDescent="0.25">
      <c r="A19" s="391" t="s">
        <v>1166</v>
      </c>
      <c r="B19" s="1" t="s">
        <v>1167</v>
      </c>
      <c r="C19" s="397">
        <v>0.24738147597188775</v>
      </c>
      <c r="D19" s="401"/>
      <c r="E19" s="392">
        <v>0.22299642559352598</v>
      </c>
      <c r="F19" s="393">
        <v>0.28006781302978928</v>
      </c>
      <c r="G19" s="394">
        <v>0.25</v>
      </c>
      <c r="H19" s="395">
        <v>0.05</v>
      </c>
      <c r="J19" t="s">
        <v>256</v>
      </c>
    </row>
    <row r="20" spans="1:10" ht="15" x14ac:dyDescent="0.25">
      <c r="A20" s="402" t="s">
        <v>1168</v>
      </c>
      <c r="C20" s="403">
        <v>9.5268228374404226E-2</v>
      </c>
      <c r="D20" s="385"/>
      <c r="E20" s="384">
        <v>0.1</v>
      </c>
      <c r="F20" s="384">
        <v>4.582865693976805E-2</v>
      </c>
      <c r="G20" s="386">
        <v>0.1</v>
      </c>
      <c r="H20" s="404">
        <v>0.1</v>
      </c>
      <c r="J20" t="s">
        <v>513</v>
      </c>
    </row>
    <row r="21" spans="1:10" ht="15" x14ac:dyDescent="0.25">
      <c r="A21" s="402" t="s">
        <v>1169</v>
      </c>
      <c r="C21" s="403">
        <v>0.11155055268228374</v>
      </c>
      <c r="D21" s="385"/>
      <c r="E21" s="384">
        <v>0.1</v>
      </c>
      <c r="F21" s="384">
        <v>4.1950847506403065E-2</v>
      </c>
      <c r="G21" s="386">
        <v>9.9999999999999978E-2</v>
      </c>
      <c r="H21" s="404">
        <v>9.9999999999999978E-2</v>
      </c>
      <c r="J21" t="s">
        <v>256</v>
      </c>
    </row>
    <row r="22" spans="1:10" x14ac:dyDescent="0.2">
      <c r="A22" s="405" t="s">
        <v>60</v>
      </c>
      <c r="C22" s="406"/>
      <c r="H22" s="407">
        <v>1.0000000000000002</v>
      </c>
    </row>
    <row r="23" spans="1:10" x14ac:dyDescent="0.2">
      <c r="H23" s="64">
        <f>SUMIF($J$8:$J$21,J23,$H$8:$H$21)</f>
        <v>0.24699999999999994</v>
      </c>
      <c r="J23" t="s">
        <v>513</v>
      </c>
    </row>
    <row r="24" spans="1:10" x14ac:dyDescent="0.2">
      <c r="H24" s="64">
        <f t="shared" ref="H24:H27" si="0">SUMIF($J$8:$J$21,J24,$H$8:$H$21)</f>
        <v>0.39600000000000002</v>
      </c>
      <c r="J24" t="s">
        <v>514</v>
      </c>
    </row>
    <row r="25" spans="1:10" x14ac:dyDescent="0.2">
      <c r="H25" s="64">
        <f t="shared" si="0"/>
        <v>4.4999999999999998E-2</v>
      </c>
      <c r="J25" t="s">
        <v>515</v>
      </c>
    </row>
    <row r="26" spans="1:10" x14ac:dyDescent="0.2">
      <c r="H26" s="64">
        <f t="shared" si="0"/>
        <v>0</v>
      </c>
      <c r="J26" t="s">
        <v>276</v>
      </c>
    </row>
    <row r="27" spans="1:10" x14ac:dyDescent="0.2">
      <c r="H27" s="64">
        <f t="shared" si="0"/>
        <v>0.312</v>
      </c>
      <c r="J27" t="s">
        <v>256</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6381B-AB2D-4854-8058-B94011A4BF07}">
  <sheetPr codeName="Sheet8">
    <tabColor theme="4"/>
  </sheetPr>
  <dimension ref="A2:BR144"/>
  <sheetViews>
    <sheetView workbookViewId="0"/>
  </sheetViews>
  <sheetFormatPr defaultRowHeight="12.75" x14ac:dyDescent="0.2"/>
  <cols>
    <col min="1" max="1" width="36.5703125" bestFit="1" customWidth="1"/>
    <col min="2" max="2" width="13.5703125" customWidth="1"/>
    <col min="3" max="3" width="13" customWidth="1"/>
    <col min="17" max="17" width="18.140625" customWidth="1"/>
    <col min="22" max="22" width="12.85546875" customWidth="1"/>
    <col min="25" max="25" width="22" customWidth="1"/>
    <col min="33" max="33" width="13.5703125" customWidth="1"/>
  </cols>
  <sheetData>
    <row r="2" spans="1:70" ht="15" x14ac:dyDescent="0.25">
      <c r="Y2" s="67" t="s">
        <v>1314</v>
      </c>
    </row>
    <row r="3" spans="1:70" x14ac:dyDescent="0.2">
      <c r="R3" s="66" t="s">
        <v>511</v>
      </c>
      <c r="Y3" s="66" t="s">
        <v>512</v>
      </c>
      <c r="AC3" s="66" t="s">
        <v>521</v>
      </c>
      <c r="AJ3">
        <f>MATCH(AH6,$R$5:$V$5,0)</f>
        <v>1</v>
      </c>
      <c r="AR3">
        <f>MATCH(AP6,$R$5:$V$5,0)</f>
        <v>2</v>
      </c>
      <c r="AZ3">
        <f>MATCH(AX6,$R$5:$V$5,0)</f>
        <v>3</v>
      </c>
      <c r="BH3">
        <f>MATCH(BF6,$R$5:$V$5,0)</f>
        <v>4</v>
      </c>
      <c r="BP3">
        <f>MATCH(BN6,$R$5:$V$5,0)</f>
        <v>5</v>
      </c>
    </row>
    <row r="4" spans="1:70" ht="15" x14ac:dyDescent="0.25">
      <c r="B4" s="1" t="s">
        <v>1334</v>
      </c>
      <c r="G4" s="1" t="s">
        <v>1334</v>
      </c>
      <c r="L4" s="1" t="s">
        <v>1334</v>
      </c>
      <c r="R4" s="1" t="s">
        <v>525</v>
      </c>
      <c r="S4" s="1" t="s">
        <v>526</v>
      </c>
      <c r="T4" s="1" t="s">
        <v>527</v>
      </c>
      <c r="U4" s="1" t="s">
        <v>504</v>
      </c>
      <c r="V4" s="1" t="s">
        <v>559</v>
      </c>
      <c r="W4" s="1"/>
      <c r="X4" s="1"/>
      <c r="Y4" s="1" t="s">
        <v>504</v>
      </c>
      <c r="Z4" s="1" t="s">
        <v>520</v>
      </c>
      <c r="AA4" s="1" t="s">
        <v>505</v>
      </c>
      <c r="AB4" s="1" t="s">
        <v>506</v>
      </c>
      <c r="AC4" s="1" t="s">
        <v>503</v>
      </c>
      <c r="AF4" s="57" t="s">
        <v>478</v>
      </c>
      <c r="AG4" s="57"/>
      <c r="AH4" s="57"/>
      <c r="AJ4" s="3"/>
      <c r="AN4" s="57" t="s">
        <v>478</v>
      </c>
      <c r="AO4" s="57"/>
      <c r="AP4" s="57"/>
      <c r="AR4" s="3"/>
      <c r="AV4" s="57" t="s">
        <v>478</v>
      </c>
      <c r="AW4" s="57"/>
      <c r="AX4" s="57"/>
      <c r="AZ4" s="3"/>
      <c r="BD4" s="57" t="s">
        <v>478</v>
      </c>
      <c r="BE4" s="57"/>
      <c r="BF4" s="57"/>
      <c r="BH4" s="3"/>
      <c r="BL4" s="57" t="s">
        <v>478</v>
      </c>
      <c r="BM4" s="57"/>
      <c r="BN4" s="57"/>
      <c r="BP4" s="3"/>
    </row>
    <row r="5" spans="1:70" ht="30" x14ac:dyDescent="0.25">
      <c r="A5" s="73" t="s">
        <v>562</v>
      </c>
      <c r="B5" t="s">
        <v>1</v>
      </c>
      <c r="C5" s="1" t="s">
        <v>2</v>
      </c>
      <c r="D5" s="1" t="s">
        <v>0</v>
      </c>
      <c r="E5" s="1" t="s">
        <v>8</v>
      </c>
      <c r="G5" t="s">
        <v>1</v>
      </c>
      <c r="H5" s="1" t="s">
        <v>2</v>
      </c>
      <c r="I5" s="1" t="s">
        <v>0</v>
      </c>
      <c r="J5" s="1" t="s">
        <v>8</v>
      </c>
      <c r="L5" t="s">
        <v>1</v>
      </c>
      <c r="M5" s="1" t="s">
        <v>2</v>
      </c>
      <c r="N5" s="1" t="s">
        <v>0</v>
      </c>
      <c r="O5" s="1" t="s">
        <v>8</v>
      </c>
      <c r="Q5" s="66"/>
      <c r="R5" s="64" t="s">
        <v>513</v>
      </c>
      <c r="S5" s="64" t="s">
        <v>514</v>
      </c>
      <c r="T5" s="64" t="s">
        <v>515</v>
      </c>
      <c r="U5" s="71" t="s">
        <v>276</v>
      </c>
      <c r="V5" s="71" t="s">
        <v>256</v>
      </c>
      <c r="W5" s="71" t="s">
        <v>457</v>
      </c>
      <c r="X5" s="71"/>
      <c r="Y5" t="s">
        <v>276</v>
      </c>
      <c r="Z5" t="s">
        <v>519</v>
      </c>
      <c r="AA5" t="s">
        <v>277</v>
      </c>
      <c r="AB5" t="s">
        <v>281</v>
      </c>
      <c r="AC5" t="s">
        <v>278</v>
      </c>
      <c r="AF5" s="59" t="s">
        <v>599</v>
      </c>
      <c r="AG5" s="59" t="s">
        <v>1</v>
      </c>
      <c r="AH5" s="59" t="s">
        <v>482</v>
      </c>
      <c r="AI5">
        <v>0</v>
      </c>
      <c r="AJ5" s="59">
        <v>2017</v>
      </c>
      <c r="AK5">
        <v>2030</v>
      </c>
      <c r="AL5" s="59">
        <v>2050</v>
      </c>
      <c r="AN5" s="59" t="s">
        <v>599</v>
      </c>
      <c r="AO5" s="59" t="s">
        <v>1</v>
      </c>
      <c r="AP5" s="59" t="s">
        <v>482</v>
      </c>
      <c r="AQ5">
        <v>0</v>
      </c>
      <c r="AR5" s="59">
        <v>2017</v>
      </c>
      <c r="AS5">
        <v>2030</v>
      </c>
      <c r="AT5" s="59">
        <v>2050</v>
      </c>
      <c r="AV5" s="59" t="s">
        <v>599</v>
      </c>
      <c r="AW5" s="59" t="s">
        <v>1</v>
      </c>
      <c r="AX5" s="59" t="s">
        <v>482</v>
      </c>
      <c r="AY5">
        <v>0</v>
      </c>
      <c r="AZ5" s="59">
        <v>2017</v>
      </c>
      <c r="BA5">
        <v>2030</v>
      </c>
      <c r="BB5" s="59">
        <v>2050</v>
      </c>
      <c r="BD5" s="59" t="s">
        <v>599</v>
      </c>
      <c r="BE5" s="59" t="s">
        <v>1</v>
      </c>
      <c r="BF5" s="59" t="s">
        <v>482</v>
      </c>
      <c r="BG5">
        <v>0</v>
      </c>
      <c r="BH5" s="59">
        <v>2017</v>
      </c>
      <c r="BI5">
        <v>2030</v>
      </c>
      <c r="BJ5" s="59">
        <v>2050</v>
      </c>
      <c r="BL5" s="59" t="s">
        <v>599</v>
      </c>
      <c r="BM5" s="59" t="s">
        <v>1</v>
      </c>
      <c r="BN5" s="59" t="s">
        <v>482</v>
      </c>
      <c r="BO5">
        <v>0</v>
      </c>
      <c r="BP5" s="59">
        <v>2017</v>
      </c>
      <c r="BQ5">
        <v>2030</v>
      </c>
      <c r="BR5" s="59">
        <v>2050</v>
      </c>
    </row>
    <row r="6" spans="1:70" ht="15" x14ac:dyDescent="0.25">
      <c r="A6" s="74" t="s">
        <v>564</v>
      </c>
      <c r="B6" s="1" t="s">
        <v>428</v>
      </c>
      <c r="C6" s="74" t="s">
        <v>563</v>
      </c>
      <c r="D6" s="1">
        <v>2017</v>
      </c>
      <c r="E6">
        <v>51359.8538564517</v>
      </c>
      <c r="G6" s="1" t="s">
        <v>428</v>
      </c>
      <c r="H6" s="74" t="str">
        <f>C6</f>
        <v>ETCLEMEDU-N</v>
      </c>
      <c r="I6" s="1">
        <v>2030</v>
      </c>
      <c r="L6" s="1" t="s">
        <v>428</v>
      </c>
      <c r="M6" s="74" t="str">
        <f>C6</f>
        <v>ETCLEMEDU-N</v>
      </c>
      <c r="N6" s="1">
        <v>2050</v>
      </c>
      <c r="R6" s="64">
        <f t="array" ref="R6:V6">TRANSPOSE(EIA!P22:P26)</f>
        <v>0.27128240236133583</v>
      </c>
      <c r="S6" s="64">
        <v>0.41966135343537808</v>
      </c>
      <c r="T6" s="64">
        <v>6.0040416212520223E-2</v>
      </c>
      <c r="U6" s="64">
        <v>0</v>
      </c>
      <c r="V6" s="64">
        <v>0.24901582799076588</v>
      </c>
      <c r="W6" s="1" t="s">
        <v>1291</v>
      </c>
      <c r="AF6" s="3" t="str">
        <f>$C6</f>
        <v>ETCLEMEDU-N</v>
      </c>
      <c r="AG6" s="58" t="s">
        <v>481</v>
      </c>
      <c r="AH6" s="376" t="str">
        <f>$R5</f>
        <v>ccons_e</v>
      </c>
      <c r="AI6" s="3">
        <v>3</v>
      </c>
      <c r="AJ6" cm="1">
        <f t="array" ref="AJ6">INDEX($R6:$V6,1,AJ$3)*$E6</f>
        <v>13933.024539105336</v>
      </c>
      <c r="AK6" t="str">
        <f>IF($J6&lt;&gt;"",AJ6*$J6/$E6,"")</f>
        <v/>
      </c>
      <c r="AL6" t="str">
        <f>IF($O6&lt;&gt;"",AK6*$O6/$J6,"")</f>
        <v/>
      </c>
      <c r="AN6" s="3" t="str">
        <f>$M6</f>
        <v>ETCLEMEDU-N</v>
      </c>
      <c r="AO6" s="58" t="s">
        <v>481</v>
      </c>
      <c r="AP6" s="376" t="str">
        <f>S5</f>
        <v>cmach_e</v>
      </c>
      <c r="AQ6" s="3">
        <v>3</v>
      </c>
      <c r="AR6" cm="1">
        <f t="array" ref="AR6">INDEX($R6:$V6,1,AR$3)*$E6</f>
        <v>21553.745781641745</v>
      </c>
      <c r="AS6" t="str">
        <f>IF($J6&lt;&gt;"",AR6*$J6/$E6,"")</f>
        <v/>
      </c>
      <c r="AT6" t="str">
        <f>IF($O6&lt;&gt;"",AS6*$O6/$J6,"")</f>
        <v/>
      </c>
      <c r="AV6" s="3" t="str">
        <f>$M6</f>
        <v>ETCLEMEDU-N</v>
      </c>
      <c r="AW6" s="58" t="s">
        <v>481</v>
      </c>
      <c r="AX6" s="376" t="str">
        <f>$T5</f>
        <v>cemch_e</v>
      </c>
      <c r="AY6" s="3">
        <v>3</v>
      </c>
      <c r="AZ6" cm="1">
        <f t="array" ref="AZ6">INDEX($R6:$V6,1,AZ$3)*$E6</f>
        <v>3083.6670021555719</v>
      </c>
      <c r="BA6" t="str">
        <f>IF($J6&lt;&gt;"",AZ6*$J6/$E6,"")</f>
        <v/>
      </c>
      <c r="BB6" t="str">
        <f>IF($O6&lt;&gt;"",BA6*$O6/$J6,"")</f>
        <v/>
      </c>
      <c r="BD6" s="3" t="str">
        <f>$M6</f>
        <v>ETCLEMEDU-N</v>
      </c>
      <c r="BE6" s="58" t="s">
        <v>481</v>
      </c>
      <c r="BF6" s="376" t="str">
        <f>$U5</f>
        <v>cmetp</v>
      </c>
      <c r="BG6" s="3">
        <v>3</v>
      </c>
      <c r="BH6" cm="1">
        <f t="array" ref="BH6">INDEX($R6:$V6,1,BH$3)*$E6</f>
        <v>0</v>
      </c>
      <c r="BI6" t="str">
        <f>IF($J6&lt;&gt;"",BH6*$J6/$E6,"")</f>
        <v/>
      </c>
      <c r="BJ6" t="str">
        <f>IF($O6&lt;&gt;"",BI6*$O6/$J6,"")</f>
        <v/>
      </c>
      <c r="BL6" s="3" t="str">
        <f>$M6</f>
        <v>ETCLEMEDU-N</v>
      </c>
      <c r="BM6" s="58" t="s">
        <v>481</v>
      </c>
      <c r="BN6" s="376" t="str">
        <f>$V5</f>
        <v>cbsrv</v>
      </c>
      <c r="BO6" s="3">
        <v>3</v>
      </c>
      <c r="BP6" cm="1">
        <f t="array" ref="BP6">INDEX($R6:$V6,1,BP$3)*$E6</f>
        <v>12789.416533549051</v>
      </c>
      <c r="BQ6" t="str">
        <f>IF($J6&lt;&gt;"",BP6*$J6/$E6,"")</f>
        <v/>
      </c>
      <c r="BR6" t="str">
        <f>IF($O6&lt;&gt;"",BQ6*$O6/$J6,"")</f>
        <v/>
      </c>
    </row>
    <row r="7" spans="1:70" ht="15" x14ac:dyDescent="0.25">
      <c r="A7" s="74" t="s">
        <v>566</v>
      </c>
      <c r="B7" s="1" t="s">
        <v>428</v>
      </c>
      <c r="C7" s="74" t="s">
        <v>565</v>
      </c>
      <c r="D7" s="1">
        <v>2017</v>
      </c>
      <c r="E7">
        <v>51359.8538564517</v>
      </c>
      <c r="G7" s="1" t="s">
        <v>428</v>
      </c>
      <c r="H7" s="74" t="str">
        <f t="shared" ref="H7:H29" si="0">C7</f>
        <v>ETCLEKUSI-N</v>
      </c>
      <c r="I7" s="1">
        <v>2030</v>
      </c>
      <c r="L7" s="1" t="s">
        <v>428</v>
      </c>
      <c r="M7" s="74" t="str">
        <f t="shared" ref="M7:M29" si="1">C7</f>
        <v>ETCLEKUSI-N</v>
      </c>
      <c r="N7" s="1">
        <v>2050</v>
      </c>
      <c r="R7" s="76">
        <f>R6</f>
        <v>0.27128240236133583</v>
      </c>
      <c r="S7" s="76">
        <f t="shared" ref="S7:V7" si="2">S6</f>
        <v>0.41966135343537808</v>
      </c>
      <c r="T7" s="76">
        <f t="shared" si="2"/>
        <v>6.0040416212520223E-2</v>
      </c>
      <c r="U7" s="76">
        <f t="shared" si="2"/>
        <v>0</v>
      </c>
      <c r="V7" s="76">
        <f t="shared" si="2"/>
        <v>0.24901582799076588</v>
      </c>
      <c r="W7" s="1" t="s">
        <v>1291</v>
      </c>
      <c r="AF7" s="3" t="str">
        <f t="shared" ref="AF7:AF45" si="3">$C7</f>
        <v>ETCLEKUSI-N</v>
      </c>
      <c r="AG7" s="58" t="s">
        <v>481</v>
      </c>
      <c r="AH7" s="376" t="str">
        <f>AH6</f>
        <v>ccons_e</v>
      </c>
      <c r="AI7" s="3">
        <v>3</v>
      </c>
      <c r="AJ7" cm="1">
        <f t="array" ref="AJ7">INDEX($R7:$V7,1,AJ$3)*$E7</f>
        <v>13933.024539105336</v>
      </c>
      <c r="AK7" t="str">
        <f t="shared" ref="AK7:AK45" si="4">IF($J7&lt;&gt;"",AJ7*$J7/$E7,"")</f>
        <v/>
      </c>
      <c r="AL7" t="str">
        <f t="shared" ref="AL7:AL45" si="5">IF($O7&lt;&gt;"",AK7*$O7/$J7,"")</f>
        <v/>
      </c>
      <c r="AN7" s="3" t="str">
        <f t="shared" ref="AN7:AN45" si="6">$M7</f>
        <v>ETCLEKUSI-N</v>
      </c>
      <c r="AO7" s="58" t="s">
        <v>481</v>
      </c>
      <c r="AP7" s="376" t="str">
        <f>AP6</f>
        <v>cmach_e</v>
      </c>
      <c r="AQ7" s="3">
        <v>3</v>
      </c>
      <c r="AR7" cm="1">
        <f t="array" ref="AR7">INDEX($R7:$V7,1,AR$3)*$E7</f>
        <v>21553.745781641745</v>
      </c>
      <c r="AS7" t="str">
        <f t="shared" ref="AS7:AS45" si="7">IF($J7&lt;&gt;"",AR7*$J7/$E7,"")</f>
        <v/>
      </c>
      <c r="AT7" t="str">
        <f t="shared" ref="AT7:AT45" si="8">IF($O7&lt;&gt;"",AS7*$O7/$J7,"")</f>
        <v/>
      </c>
      <c r="AV7" s="3" t="str">
        <f t="shared" ref="AV7:AV45" si="9">$M7</f>
        <v>ETCLEKUSI-N</v>
      </c>
      <c r="AW7" s="58" t="s">
        <v>481</v>
      </c>
      <c r="AX7" s="376" t="str">
        <f>AX6</f>
        <v>cemch_e</v>
      </c>
      <c r="AY7" s="3">
        <v>3</v>
      </c>
      <c r="AZ7" cm="1">
        <f t="array" ref="AZ7">INDEX($R7:$V7,1,AZ$3)*$E7</f>
        <v>3083.6670021555719</v>
      </c>
      <c r="BA7" t="str">
        <f t="shared" ref="BA7:BA45" si="10">IF($J7&lt;&gt;"",AZ7*$J7/$E7,"")</f>
        <v/>
      </c>
      <c r="BB7" t="str">
        <f t="shared" ref="BB7:BB45" si="11">IF($O7&lt;&gt;"",BA7*$O7/$J7,"")</f>
        <v/>
      </c>
      <c r="BD7" s="3" t="str">
        <f t="shared" ref="BD7:BD45" si="12">$M7</f>
        <v>ETCLEKUSI-N</v>
      </c>
      <c r="BE7" s="58" t="s">
        <v>481</v>
      </c>
      <c r="BF7" s="376" t="str">
        <f>BF6</f>
        <v>cmetp</v>
      </c>
      <c r="BG7" s="3">
        <v>3</v>
      </c>
      <c r="BH7" cm="1">
        <f t="array" ref="BH7">INDEX($R7:$V7,1,BH$3)*$E7</f>
        <v>0</v>
      </c>
      <c r="BI7" t="str">
        <f t="shared" ref="BI7:BI45" si="13">IF($J7&lt;&gt;"",BH7*$J7/$E7,"")</f>
        <v/>
      </c>
      <c r="BJ7" t="str">
        <f t="shared" ref="BJ7:BJ45" si="14">IF($O7&lt;&gt;"",BI7*$O7/$J7,"")</f>
        <v/>
      </c>
      <c r="BL7" s="3" t="str">
        <f t="shared" ref="BL7:BL45" si="15">$M7</f>
        <v>ETCLEKUSI-N</v>
      </c>
      <c r="BM7" s="58" t="s">
        <v>481</v>
      </c>
      <c r="BN7" s="376" t="str">
        <f>BN6</f>
        <v>cbsrv</v>
      </c>
      <c r="BO7" s="3">
        <v>3</v>
      </c>
      <c r="BP7" cm="1">
        <f t="array" ref="BP7">INDEX($R7:$V7,1,BP$3)*$E7</f>
        <v>12789.416533549051</v>
      </c>
      <c r="BQ7" t="str">
        <f t="shared" ref="BQ7:BQ45" si="16">IF($J7&lt;&gt;"",BP7*$J7/$E7,"")</f>
        <v/>
      </c>
      <c r="BR7" t="str">
        <f t="shared" ref="BR7:BR45" si="17">IF($O7&lt;&gt;"",BQ7*$O7/$J7,"")</f>
        <v/>
      </c>
    </row>
    <row r="8" spans="1:70" ht="15" x14ac:dyDescent="0.25">
      <c r="A8" s="74" t="s">
        <v>568</v>
      </c>
      <c r="B8" s="1" t="s">
        <v>428</v>
      </c>
      <c r="C8" s="74" t="s">
        <v>567</v>
      </c>
      <c r="D8" s="1">
        <v>2017</v>
      </c>
      <c r="E8">
        <v>55306.829599999997</v>
      </c>
      <c r="G8" s="1" t="s">
        <v>428</v>
      </c>
      <c r="H8" s="74" t="str">
        <f t="shared" si="0"/>
        <v>ETCLEWATE-N</v>
      </c>
      <c r="I8" s="1">
        <v>2030</v>
      </c>
      <c r="L8" s="1" t="s">
        <v>428</v>
      </c>
      <c r="M8" s="74" t="str">
        <f t="shared" si="1"/>
        <v>ETCLEWATE-N</v>
      </c>
      <c r="N8" s="1">
        <v>2050</v>
      </c>
      <c r="R8" s="76">
        <f t="shared" ref="R8:R9" si="18">R7</f>
        <v>0.27128240236133583</v>
      </c>
      <c r="S8" s="76">
        <f t="shared" ref="S8:S9" si="19">S7</f>
        <v>0.41966135343537808</v>
      </c>
      <c r="T8" s="76">
        <f t="shared" ref="T8:T9" si="20">T7</f>
        <v>6.0040416212520223E-2</v>
      </c>
      <c r="U8" s="76">
        <f t="shared" ref="U8:U9" si="21">U7</f>
        <v>0</v>
      </c>
      <c r="V8" s="76">
        <f t="shared" ref="V8:V9" si="22">V7</f>
        <v>0.24901582799076588</v>
      </c>
      <c r="W8" s="1" t="s">
        <v>1291</v>
      </c>
      <c r="AF8" s="3" t="str">
        <f t="shared" si="3"/>
        <v>ETCLEWATE-N</v>
      </c>
      <c r="AG8" s="58" t="s">
        <v>481</v>
      </c>
      <c r="AH8" s="376" t="str">
        <f t="shared" ref="AH8:AH45" si="23">AH7</f>
        <v>ccons_e</v>
      </c>
      <c r="AI8" s="3">
        <v>3</v>
      </c>
      <c r="AJ8" cm="1">
        <f t="array" ref="AJ8">INDEX($R8:$V8,1,AJ$3)*$E8</f>
        <v>15003.769600877038</v>
      </c>
      <c r="AK8" t="str">
        <f t="shared" si="4"/>
        <v/>
      </c>
      <c r="AL8" t="str">
        <f t="shared" si="5"/>
        <v/>
      </c>
      <c r="AN8" s="3" t="str">
        <f t="shared" si="6"/>
        <v>ETCLEWATE-N</v>
      </c>
      <c r="AO8" s="58" t="s">
        <v>481</v>
      </c>
      <c r="AP8" s="376" t="str">
        <f t="shared" ref="AP8:AP45" si="24">AP7</f>
        <v>cmach_e</v>
      </c>
      <c r="AQ8" s="3">
        <v>3</v>
      </c>
      <c r="AR8" cm="1">
        <f t="array" ref="AR8">INDEX($R8:$V8,1,AR$3)*$E8</f>
        <v>23210.138964155831</v>
      </c>
      <c r="AS8" t="str">
        <f t="shared" si="7"/>
        <v/>
      </c>
      <c r="AT8" t="str">
        <f t="shared" si="8"/>
        <v/>
      </c>
      <c r="AV8" s="3" t="str">
        <f t="shared" si="9"/>
        <v>ETCLEWATE-N</v>
      </c>
      <c r="AW8" s="58" t="s">
        <v>481</v>
      </c>
      <c r="AX8" s="376" t="str">
        <f t="shared" ref="AX8:AX45" si="25">AX7</f>
        <v>cemch_e</v>
      </c>
      <c r="AY8" s="3">
        <v>3</v>
      </c>
      <c r="AZ8" cm="1">
        <f t="array" ref="AZ8">INDEX($R8:$V8,1,AZ$3)*$E8</f>
        <v>3320.6450685789332</v>
      </c>
      <c r="BA8" t="str">
        <f t="shared" si="10"/>
        <v/>
      </c>
      <c r="BB8" t="str">
        <f t="shared" si="11"/>
        <v/>
      </c>
      <c r="BD8" s="3" t="str">
        <f t="shared" si="12"/>
        <v>ETCLEWATE-N</v>
      </c>
      <c r="BE8" s="58" t="s">
        <v>481</v>
      </c>
      <c r="BF8" s="376" t="str">
        <f t="shared" ref="BF8:BF45" si="26">BF7</f>
        <v>cmetp</v>
      </c>
      <c r="BG8" s="3">
        <v>3</v>
      </c>
      <c r="BH8" cm="1">
        <f t="array" ref="BH8">INDEX($R8:$V8,1,BH$3)*$E8</f>
        <v>0</v>
      </c>
      <c r="BI8" t="str">
        <f t="shared" si="13"/>
        <v/>
      </c>
      <c r="BJ8" t="str">
        <f t="shared" si="14"/>
        <v/>
      </c>
      <c r="BL8" s="3" t="str">
        <f t="shared" si="15"/>
        <v>ETCLEWATE-N</v>
      </c>
      <c r="BM8" s="58" t="s">
        <v>481</v>
      </c>
      <c r="BN8" s="376" t="str">
        <f t="shared" ref="BN8:BN45" si="27">BN7</f>
        <v>cbsrv</v>
      </c>
      <c r="BO8" s="3">
        <v>3</v>
      </c>
      <c r="BP8" cm="1">
        <f t="array" ref="BP8">INDEX($R8:$V8,1,BP$3)*$E8</f>
        <v>13772.275966388199</v>
      </c>
      <c r="BQ8" t="str">
        <f t="shared" si="16"/>
        <v/>
      </c>
      <c r="BR8" t="str">
        <f t="shared" si="17"/>
        <v/>
      </c>
    </row>
    <row r="9" spans="1:70" ht="15" x14ac:dyDescent="0.25">
      <c r="A9" s="74" t="s">
        <v>570</v>
      </c>
      <c r="B9" s="1" t="s">
        <v>428</v>
      </c>
      <c r="C9" s="74" t="s">
        <v>569</v>
      </c>
      <c r="D9" s="1">
        <v>2017</v>
      </c>
      <c r="E9">
        <v>106982.8144</v>
      </c>
      <c r="G9" s="1" t="s">
        <v>428</v>
      </c>
      <c r="H9" s="74" t="str">
        <f t="shared" si="0"/>
        <v>ETCLE-CCS-N</v>
      </c>
      <c r="I9" s="1">
        <v>2030</v>
      </c>
      <c r="L9" s="1" t="s">
        <v>428</v>
      </c>
      <c r="M9" s="74" t="str">
        <f t="shared" si="1"/>
        <v>ETCLE-CCS-N</v>
      </c>
      <c r="N9" s="1">
        <v>2050</v>
      </c>
      <c r="R9" s="445">
        <f t="shared" si="18"/>
        <v>0.27128240236133583</v>
      </c>
      <c r="S9" s="445">
        <f t="shared" si="19"/>
        <v>0.41966135343537808</v>
      </c>
      <c r="T9" s="445">
        <f t="shared" si="20"/>
        <v>6.0040416212520223E-2</v>
      </c>
      <c r="U9" s="445">
        <f t="shared" si="21"/>
        <v>0</v>
      </c>
      <c r="V9" s="445">
        <f t="shared" si="22"/>
        <v>0.24901582799076588</v>
      </c>
      <c r="W9" s="67" t="s">
        <v>1289</v>
      </c>
      <c r="AF9" s="3" t="str">
        <f t="shared" si="3"/>
        <v>ETCLE-CCS-N</v>
      </c>
      <c r="AG9" s="58" t="s">
        <v>481</v>
      </c>
      <c r="AH9" s="376" t="str">
        <f t="shared" si="23"/>
        <v>ccons_e</v>
      </c>
      <c r="AI9" s="3">
        <v>3</v>
      </c>
      <c r="AJ9" cm="1">
        <f t="array" ref="AJ9">INDEX($R9:$V9,1,AJ$3)*$E9</f>
        <v>29022.554901808915</v>
      </c>
      <c r="AK9" t="str">
        <f t="shared" si="4"/>
        <v/>
      </c>
      <c r="AL9" t="str">
        <f t="shared" si="5"/>
        <v/>
      </c>
      <c r="AN9" s="3" t="str">
        <f t="shared" si="6"/>
        <v>ETCLE-CCS-N</v>
      </c>
      <c r="AO9" s="58" t="s">
        <v>481</v>
      </c>
      <c r="AP9" s="376" t="str">
        <f t="shared" si="24"/>
        <v>cmach_e</v>
      </c>
      <c r="AQ9" s="3">
        <v>3</v>
      </c>
      <c r="AR9" cm="1">
        <f t="array" ref="AR9">INDEX($R9:$V9,1,AR$3)*$E9</f>
        <v>44896.552685429859</v>
      </c>
      <c r="AS9" t="str">
        <f t="shared" si="7"/>
        <v/>
      </c>
      <c r="AT9" t="str">
        <f t="shared" si="8"/>
        <v/>
      </c>
      <c r="AV9" s="3" t="str">
        <f t="shared" si="9"/>
        <v>ETCLE-CCS-N</v>
      </c>
      <c r="AW9" s="58" t="s">
        <v>481</v>
      </c>
      <c r="AX9" s="376" t="str">
        <f t="shared" si="25"/>
        <v>cemch_e</v>
      </c>
      <c r="AY9" s="3">
        <v>3</v>
      </c>
      <c r="AZ9" cm="1">
        <f t="array" ref="AZ9">INDEX($R9:$V9,1,AZ$3)*$E9</f>
        <v>6423.2927041628018</v>
      </c>
      <c r="BA9" t="str">
        <f t="shared" si="10"/>
        <v/>
      </c>
      <c r="BB9" t="str">
        <f t="shared" si="11"/>
        <v/>
      </c>
      <c r="BD9" s="3" t="str">
        <f t="shared" si="12"/>
        <v>ETCLE-CCS-N</v>
      </c>
      <c r="BE9" s="58" t="s">
        <v>481</v>
      </c>
      <c r="BF9" s="376" t="str">
        <f t="shared" si="26"/>
        <v>cmetp</v>
      </c>
      <c r="BG9" s="3">
        <v>3</v>
      </c>
      <c r="BH9" cm="1">
        <f t="array" ref="BH9">INDEX($R9:$V9,1,BH$3)*$E9</f>
        <v>0</v>
      </c>
      <c r="BI9" t="str">
        <f t="shared" si="13"/>
        <v/>
      </c>
      <c r="BJ9" t="str">
        <f t="shared" si="14"/>
        <v/>
      </c>
      <c r="BL9" s="3" t="str">
        <f t="shared" si="15"/>
        <v>ETCLE-CCS-N</v>
      </c>
      <c r="BM9" s="58" t="s">
        <v>481</v>
      </c>
      <c r="BN9" s="376" t="str">
        <f t="shared" si="27"/>
        <v>cbsrv</v>
      </c>
      <c r="BO9" s="3">
        <v>3</v>
      </c>
      <c r="BP9" cm="1">
        <f t="array" ref="BP9">INDEX($R9:$V9,1,BP$3)*$E9</f>
        <v>26640.41410859843</v>
      </c>
      <c r="BQ9" t="str">
        <f t="shared" si="16"/>
        <v/>
      </c>
      <c r="BR9" t="str">
        <f t="shared" si="17"/>
        <v/>
      </c>
    </row>
    <row r="10" spans="1:70" ht="15" x14ac:dyDescent="0.25">
      <c r="A10" s="74" t="s">
        <v>572</v>
      </c>
      <c r="B10" s="1" t="s">
        <v>428</v>
      </c>
      <c r="C10" s="74" t="s">
        <v>571</v>
      </c>
      <c r="D10" s="1">
        <v>2017</v>
      </c>
      <c r="E10">
        <v>31566.106</v>
      </c>
      <c r="G10" s="1" t="s">
        <v>428</v>
      </c>
      <c r="H10" s="74" t="str">
        <f t="shared" si="0"/>
        <v>EPTSTO-N</v>
      </c>
      <c r="I10" s="1">
        <v>2030</v>
      </c>
      <c r="L10" s="1" t="s">
        <v>428</v>
      </c>
      <c r="M10" s="74" t="str">
        <f t="shared" si="1"/>
        <v>EPTSTO-N</v>
      </c>
      <c r="N10" s="1">
        <v>2050</v>
      </c>
      <c r="R10" s="445">
        <v>0.5</v>
      </c>
      <c r="S10" s="445">
        <v>0.2</v>
      </c>
      <c r="T10" s="445">
        <v>0.1</v>
      </c>
      <c r="U10" s="445">
        <f t="shared" ref="U10" si="28">U9</f>
        <v>0</v>
      </c>
      <c r="V10" s="445">
        <v>0.2</v>
      </c>
      <c r="W10" s="67" t="s">
        <v>1289</v>
      </c>
      <c r="AF10" s="3" t="str">
        <f t="shared" si="3"/>
        <v>EPTSTO-N</v>
      </c>
      <c r="AG10" s="58" t="s">
        <v>481</v>
      </c>
      <c r="AH10" s="376" t="str">
        <f t="shared" si="23"/>
        <v>ccons_e</v>
      </c>
      <c r="AI10" s="3">
        <v>3</v>
      </c>
      <c r="AJ10" cm="1">
        <f t="array" ref="AJ10">INDEX($R10:$V10,1,AJ$3)*$E10</f>
        <v>15783.053</v>
      </c>
      <c r="AK10" t="str">
        <f t="shared" si="4"/>
        <v/>
      </c>
      <c r="AL10" t="str">
        <f t="shared" si="5"/>
        <v/>
      </c>
      <c r="AN10" s="3" t="str">
        <f t="shared" si="6"/>
        <v>EPTSTO-N</v>
      </c>
      <c r="AO10" s="58" t="s">
        <v>481</v>
      </c>
      <c r="AP10" s="376" t="str">
        <f t="shared" si="24"/>
        <v>cmach_e</v>
      </c>
      <c r="AQ10" s="3">
        <v>3</v>
      </c>
      <c r="AR10" cm="1">
        <f t="array" ref="AR10">INDEX($R10:$V10,1,AR$3)*$E10</f>
        <v>6313.2212</v>
      </c>
      <c r="AS10" t="str">
        <f t="shared" si="7"/>
        <v/>
      </c>
      <c r="AT10" t="str">
        <f t="shared" si="8"/>
        <v/>
      </c>
      <c r="AV10" s="3" t="str">
        <f t="shared" si="9"/>
        <v>EPTSTO-N</v>
      </c>
      <c r="AW10" s="58" t="s">
        <v>481</v>
      </c>
      <c r="AX10" s="376" t="str">
        <f t="shared" si="25"/>
        <v>cemch_e</v>
      </c>
      <c r="AY10" s="3">
        <v>3</v>
      </c>
      <c r="AZ10" cm="1">
        <f t="array" ref="AZ10">INDEX($R10:$V10,1,AZ$3)*$E10</f>
        <v>3156.6106</v>
      </c>
      <c r="BA10" t="str">
        <f t="shared" si="10"/>
        <v/>
      </c>
      <c r="BB10" t="str">
        <f t="shared" si="11"/>
        <v/>
      </c>
      <c r="BD10" s="3" t="str">
        <f t="shared" si="12"/>
        <v>EPTSTO-N</v>
      </c>
      <c r="BE10" s="58" t="s">
        <v>481</v>
      </c>
      <c r="BF10" s="376" t="str">
        <f t="shared" si="26"/>
        <v>cmetp</v>
      </c>
      <c r="BG10" s="3">
        <v>3</v>
      </c>
      <c r="BH10" cm="1">
        <f t="array" ref="BH10">INDEX($R10:$V10,1,BH$3)*$E10</f>
        <v>0</v>
      </c>
      <c r="BI10" t="str">
        <f t="shared" si="13"/>
        <v/>
      </c>
      <c r="BJ10" t="str">
        <f t="shared" si="14"/>
        <v/>
      </c>
      <c r="BL10" s="3" t="str">
        <f t="shared" si="15"/>
        <v>EPTSTO-N</v>
      </c>
      <c r="BM10" s="58" t="s">
        <v>481</v>
      </c>
      <c r="BN10" s="376" t="str">
        <f t="shared" si="27"/>
        <v>cbsrv</v>
      </c>
      <c r="BO10" s="3">
        <v>3</v>
      </c>
      <c r="BP10" cm="1">
        <f t="array" ref="BP10">INDEX($R10:$V10,1,BP$3)*$E10</f>
        <v>6313.2212</v>
      </c>
      <c r="BQ10" t="str">
        <f t="shared" si="16"/>
        <v/>
      </c>
      <c r="BR10" t="str">
        <f t="shared" si="17"/>
        <v/>
      </c>
    </row>
    <row r="11" spans="1:70" ht="15" x14ac:dyDescent="0.25">
      <c r="A11" s="74" t="s">
        <v>573</v>
      </c>
      <c r="B11" s="1" t="s">
        <v>428</v>
      </c>
      <c r="C11" s="74" t="s">
        <v>48</v>
      </c>
      <c r="D11" s="1">
        <v>2017</v>
      </c>
      <c r="E11">
        <v>66757.530400000003</v>
      </c>
      <c r="G11" s="1" t="s">
        <v>428</v>
      </c>
      <c r="H11" s="74" t="str">
        <f t="shared" si="0"/>
        <v>ETCLDFB-N</v>
      </c>
      <c r="I11" s="1">
        <v>2030</v>
      </c>
      <c r="L11" s="1" t="s">
        <v>428</v>
      </c>
      <c r="M11" s="74" t="str">
        <f t="shared" si="1"/>
        <v>ETCLDFB-N</v>
      </c>
      <c r="N11" s="1">
        <v>2050</v>
      </c>
      <c r="R11" s="76">
        <f>R8</f>
        <v>0.27128240236133583</v>
      </c>
      <c r="S11" s="76">
        <f t="shared" ref="S11:W11" si="29">S8</f>
        <v>0.41966135343537808</v>
      </c>
      <c r="T11" s="76">
        <f t="shared" si="29"/>
        <v>6.0040416212520223E-2</v>
      </c>
      <c r="U11" s="76">
        <f t="shared" si="29"/>
        <v>0</v>
      </c>
      <c r="V11" s="76">
        <f t="shared" si="29"/>
        <v>0.24901582799076588</v>
      </c>
      <c r="W11" s="76" t="str">
        <f t="shared" si="29"/>
        <v>EIA</v>
      </c>
      <c r="AF11" s="3" t="str">
        <f t="shared" si="3"/>
        <v>ETCLDFB-N</v>
      </c>
      <c r="AG11" s="58" t="s">
        <v>481</v>
      </c>
      <c r="AH11" s="376" t="str">
        <f t="shared" si="23"/>
        <v>ccons_e</v>
      </c>
      <c r="AI11" s="3">
        <v>3</v>
      </c>
      <c r="AJ11" cm="1">
        <f t="array" ref="AJ11">INDEX($R11:$V11,1,AJ$3)*$E11</f>
        <v>18110.143222621908</v>
      </c>
      <c r="AK11" t="str">
        <f t="shared" si="4"/>
        <v/>
      </c>
      <c r="AL11" t="str">
        <f t="shared" si="5"/>
        <v/>
      </c>
      <c r="AN11" s="3" t="str">
        <f t="shared" si="6"/>
        <v>ETCLDFB-N</v>
      </c>
      <c r="AO11" s="58" t="s">
        <v>481</v>
      </c>
      <c r="AP11" s="376" t="str">
        <f t="shared" si="24"/>
        <v>cmach_e</v>
      </c>
      <c r="AQ11" s="3">
        <v>3</v>
      </c>
      <c r="AR11" cm="1">
        <f t="array" ref="AR11">INDEX($R11:$V11,1,AR$3)*$E11</f>
        <v>28015.555559667398</v>
      </c>
      <c r="AS11" t="str">
        <f t="shared" si="7"/>
        <v/>
      </c>
      <c r="AT11" t="str">
        <f t="shared" si="8"/>
        <v/>
      </c>
      <c r="AV11" s="3" t="str">
        <f t="shared" si="9"/>
        <v>ETCLDFB-N</v>
      </c>
      <c r="AW11" s="58" t="s">
        <v>481</v>
      </c>
      <c r="AX11" s="376" t="str">
        <f t="shared" si="25"/>
        <v>cemch_e</v>
      </c>
      <c r="AY11" s="3">
        <v>3</v>
      </c>
      <c r="AZ11" cm="1">
        <f t="array" ref="AZ11">INDEX($R11:$V11,1,AZ$3)*$E11</f>
        <v>4008.1499105359717</v>
      </c>
      <c r="BA11" t="str">
        <f t="shared" si="10"/>
        <v/>
      </c>
      <c r="BB11" t="str">
        <f t="shared" si="11"/>
        <v/>
      </c>
      <c r="BD11" s="3" t="str">
        <f t="shared" si="12"/>
        <v>ETCLDFB-N</v>
      </c>
      <c r="BE11" s="58" t="s">
        <v>481</v>
      </c>
      <c r="BF11" s="376" t="str">
        <f t="shared" si="26"/>
        <v>cmetp</v>
      </c>
      <c r="BG11" s="3">
        <v>3</v>
      </c>
      <c r="BH11" cm="1">
        <f t="array" ref="BH11">INDEX($R11:$V11,1,BH$3)*$E11</f>
        <v>0</v>
      </c>
      <c r="BI11" t="str">
        <f t="shared" si="13"/>
        <v/>
      </c>
      <c r="BJ11" t="str">
        <f t="shared" si="14"/>
        <v/>
      </c>
      <c r="BL11" s="3" t="str">
        <f t="shared" si="15"/>
        <v>ETCLDFB-N</v>
      </c>
      <c r="BM11" s="58" t="s">
        <v>481</v>
      </c>
      <c r="BN11" s="376" t="str">
        <f t="shared" si="27"/>
        <v>cbsrv</v>
      </c>
      <c r="BO11" s="3">
        <v>3</v>
      </c>
      <c r="BP11" cm="1">
        <f t="array" ref="BP11">INDEX($R11:$V11,1,BP$3)*$E11</f>
        <v>16623.681707174725</v>
      </c>
      <c r="BQ11" t="str">
        <f t="shared" si="16"/>
        <v/>
      </c>
      <c r="BR11" t="str">
        <f t="shared" si="17"/>
        <v/>
      </c>
    </row>
    <row r="12" spans="1:70" ht="15" x14ac:dyDescent="0.25">
      <c r="A12" s="74" t="s">
        <v>575</v>
      </c>
      <c r="B12" s="1" t="s">
        <v>428</v>
      </c>
      <c r="C12" s="74" t="s">
        <v>574</v>
      </c>
      <c r="D12" s="1">
        <v>2017</v>
      </c>
      <c r="E12">
        <v>96386.011480000001</v>
      </c>
      <c r="G12" s="1" t="s">
        <v>428</v>
      </c>
      <c r="H12" s="74" t="str">
        <f t="shared" si="0"/>
        <v>ETNUC-N</v>
      </c>
      <c r="I12" s="1">
        <v>2030</v>
      </c>
      <c r="L12" s="1" t="s">
        <v>428</v>
      </c>
      <c r="M12" s="74" t="str">
        <f t="shared" si="1"/>
        <v>ETNUC-N</v>
      </c>
      <c r="N12" s="1">
        <v>2050</v>
      </c>
      <c r="R12" s="64">
        <f t="array" ref="R12:V12">TRANSPOSE(Nuclear!H23:H27)</f>
        <v>0.24699999999999994</v>
      </c>
      <c r="S12" s="64">
        <v>0.39600000000000002</v>
      </c>
      <c r="T12" s="64">
        <v>4.4999999999999998E-2</v>
      </c>
      <c r="U12" s="64">
        <v>0</v>
      </c>
      <c r="V12" s="64">
        <v>0.312</v>
      </c>
      <c r="W12" s="1" t="s">
        <v>1288</v>
      </c>
      <c r="AF12" s="3" t="str">
        <f t="shared" si="3"/>
        <v>ETNUC-N</v>
      </c>
      <c r="AG12" s="58" t="s">
        <v>481</v>
      </c>
      <c r="AH12" s="376" t="str">
        <f t="shared" si="23"/>
        <v>ccons_e</v>
      </c>
      <c r="AI12" s="3">
        <v>3</v>
      </c>
      <c r="AJ12" cm="1">
        <f t="array" ref="AJ12">INDEX($R12:$V12,1,AJ$3)*$E12</f>
        <v>23807.344835559994</v>
      </c>
      <c r="AK12" t="str">
        <f t="shared" si="4"/>
        <v/>
      </c>
      <c r="AL12" t="str">
        <f t="shared" si="5"/>
        <v/>
      </c>
      <c r="AN12" s="3" t="str">
        <f t="shared" si="6"/>
        <v>ETNUC-N</v>
      </c>
      <c r="AO12" s="58" t="s">
        <v>481</v>
      </c>
      <c r="AP12" s="376" t="str">
        <f t="shared" si="24"/>
        <v>cmach_e</v>
      </c>
      <c r="AQ12" s="3">
        <v>3</v>
      </c>
      <c r="AR12" cm="1">
        <f t="array" ref="AR12">INDEX($R12:$V12,1,AR$3)*$E12</f>
        <v>38168.860546080003</v>
      </c>
      <c r="AS12" t="str">
        <f t="shared" si="7"/>
        <v/>
      </c>
      <c r="AT12" t="str">
        <f t="shared" si="8"/>
        <v/>
      </c>
      <c r="AV12" s="3" t="str">
        <f t="shared" si="9"/>
        <v>ETNUC-N</v>
      </c>
      <c r="AW12" s="58" t="s">
        <v>481</v>
      </c>
      <c r="AX12" s="376" t="str">
        <f t="shared" si="25"/>
        <v>cemch_e</v>
      </c>
      <c r="AY12" s="3">
        <v>3</v>
      </c>
      <c r="AZ12" cm="1">
        <f t="array" ref="AZ12">INDEX($R12:$V12,1,AZ$3)*$E12</f>
        <v>4337.3705166</v>
      </c>
      <c r="BA12" t="str">
        <f t="shared" si="10"/>
        <v/>
      </c>
      <c r="BB12" t="str">
        <f t="shared" si="11"/>
        <v/>
      </c>
      <c r="BD12" s="3" t="str">
        <f t="shared" si="12"/>
        <v>ETNUC-N</v>
      </c>
      <c r="BE12" s="58" t="s">
        <v>481</v>
      </c>
      <c r="BF12" s="376" t="str">
        <f t="shared" si="26"/>
        <v>cmetp</v>
      </c>
      <c r="BG12" s="3">
        <v>3</v>
      </c>
      <c r="BH12" cm="1">
        <f t="array" ref="BH12">INDEX($R12:$V12,1,BH$3)*$E12</f>
        <v>0</v>
      </c>
      <c r="BI12" t="str">
        <f t="shared" si="13"/>
        <v/>
      </c>
      <c r="BJ12" t="str">
        <f t="shared" si="14"/>
        <v/>
      </c>
      <c r="BL12" s="3" t="str">
        <f t="shared" si="15"/>
        <v>ETNUC-N</v>
      </c>
      <c r="BM12" s="58" t="s">
        <v>481</v>
      </c>
      <c r="BN12" s="376" t="str">
        <f t="shared" si="27"/>
        <v>cbsrv</v>
      </c>
      <c r="BO12" s="3">
        <v>3</v>
      </c>
      <c r="BP12" cm="1">
        <f t="array" ref="BP12">INDEX($R12:$V12,1,BP$3)*$E12</f>
        <v>30072.435581760001</v>
      </c>
      <c r="BQ12" t="str">
        <f t="shared" si="16"/>
        <v/>
      </c>
      <c r="BR12" t="str">
        <f t="shared" si="17"/>
        <v/>
      </c>
    </row>
    <row r="13" spans="1:70" ht="15" x14ac:dyDescent="0.25">
      <c r="A13" s="74" t="s">
        <v>577</v>
      </c>
      <c r="B13" s="1" t="s">
        <v>428</v>
      </c>
      <c r="C13" s="74" t="s">
        <v>576</v>
      </c>
      <c r="D13" s="1">
        <v>2017</v>
      </c>
      <c r="E13">
        <v>81279.984337530506</v>
      </c>
      <c r="G13" s="1" t="s">
        <v>428</v>
      </c>
      <c r="H13" s="74" t="str">
        <f t="shared" si="0"/>
        <v>ERSOLTC09-N</v>
      </c>
      <c r="I13" s="1">
        <v>2030</v>
      </c>
      <c r="J13">
        <v>49727.028552491902</v>
      </c>
      <c r="L13" s="1" t="s">
        <v>428</v>
      </c>
      <c r="M13" s="74" t="str">
        <f t="shared" si="1"/>
        <v>ERSOLTC09-N</v>
      </c>
      <c r="N13" s="1">
        <v>2050</v>
      </c>
      <c r="O13">
        <v>49727.028552491902</v>
      </c>
      <c r="R13" s="445">
        <f>R14</f>
        <v>0.22286857974215246</v>
      </c>
      <c r="S13" s="445">
        <f t="shared" ref="S13:V13" si="30">S14</f>
        <v>0.36975375692679613</v>
      </c>
      <c r="T13" s="445">
        <f t="shared" si="30"/>
        <v>0.15577401159838056</v>
      </c>
      <c r="U13" s="445">
        <f t="shared" si="30"/>
        <v>4.336520692677031E-2</v>
      </c>
      <c r="V13" s="445">
        <f t="shared" si="30"/>
        <v>0.20786857974215245</v>
      </c>
      <c r="W13" s="67" t="s">
        <v>1289</v>
      </c>
      <c r="AF13" s="3" t="str">
        <f t="shared" si="3"/>
        <v>ERSOLTC09-N</v>
      </c>
      <c r="AG13" s="58" t="s">
        <v>481</v>
      </c>
      <c r="AH13" s="376" t="str">
        <f t="shared" si="23"/>
        <v>ccons_e</v>
      </c>
      <c r="AI13" s="3">
        <v>3</v>
      </c>
      <c r="AJ13" cm="1">
        <f t="array" ref="AJ13">INDEX($R13:$V13,1,AJ$3)*$E13</f>
        <v>18114.75467076982</v>
      </c>
      <c r="AK13">
        <f t="shared" si="4"/>
        <v>11082.592228291334</v>
      </c>
      <c r="AL13">
        <f t="shared" si="5"/>
        <v>11082.592228291336</v>
      </c>
      <c r="AN13" s="3" t="str">
        <f t="shared" si="6"/>
        <v>ERSOLTC09-N</v>
      </c>
      <c r="AO13" s="58" t="s">
        <v>481</v>
      </c>
      <c r="AP13" s="376" t="str">
        <f t="shared" si="24"/>
        <v>cmach_e</v>
      </c>
      <c r="AQ13" s="3">
        <v>3</v>
      </c>
      <c r="AR13" cm="1">
        <f t="array" ref="AR13">INDEX($R13:$V13,1,AR$3)*$E13</f>
        <v>30053.579571753053</v>
      </c>
      <c r="AS13">
        <f t="shared" si="7"/>
        <v>18386.755628089944</v>
      </c>
      <c r="AT13">
        <f t="shared" si="8"/>
        <v>18386.755628089944</v>
      </c>
      <c r="AV13" s="3" t="str">
        <f t="shared" si="9"/>
        <v>ERSOLTC09-N</v>
      </c>
      <c r="AW13" s="58" t="s">
        <v>481</v>
      </c>
      <c r="AX13" s="376" t="str">
        <f t="shared" si="25"/>
        <v>cemch_e</v>
      </c>
      <c r="AY13" s="3">
        <v>3</v>
      </c>
      <c r="AZ13" cm="1">
        <f t="array" ref="AZ13">INDEX($R13:$V13,1,AZ$3)*$E13</f>
        <v>12661.309222910668</v>
      </c>
      <c r="BA13">
        <f t="shared" si="10"/>
        <v>7746.1787224888749</v>
      </c>
      <c r="BB13">
        <f t="shared" si="11"/>
        <v>7746.1787224888749</v>
      </c>
      <c r="BD13" s="3" t="str">
        <f t="shared" si="12"/>
        <v>ERSOLTC09-N</v>
      </c>
      <c r="BE13" s="58" t="s">
        <v>481</v>
      </c>
      <c r="BF13" s="376" t="str">
        <f t="shared" si="26"/>
        <v>cmetp</v>
      </c>
      <c r="BG13" s="3">
        <v>3</v>
      </c>
      <c r="BH13" cm="1">
        <f t="array" ref="BH13">INDEX($R13:$V13,1,BH$3)*$E13</f>
        <v>3524.7233398016601</v>
      </c>
      <c r="BI13">
        <f t="shared" si="13"/>
        <v>2156.4228830322268</v>
      </c>
      <c r="BJ13">
        <f t="shared" si="14"/>
        <v>2156.4228830322268</v>
      </c>
      <c r="BL13" s="3" t="str">
        <f t="shared" si="15"/>
        <v>ERSOLTC09-N</v>
      </c>
      <c r="BM13" s="58" t="s">
        <v>481</v>
      </c>
      <c r="BN13" s="376" t="str">
        <f t="shared" si="27"/>
        <v>cbsrv</v>
      </c>
      <c r="BO13" s="3">
        <v>3</v>
      </c>
      <c r="BP13" cm="1">
        <f t="array" ref="BP13">INDEX($R13:$V13,1,BP$3)*$E13</f>
        <v>16895.554905706864</v>
      </c>
      <c r="BQ13">
        <f t="shared" si="16"/>
        <v>10336.686800003956</v>
      </c>
      <c r="BR13">
        <f t="shared" si="17"/>
        <v>10336.686800003956</v>
      </c>
    </row>
    <row r="14" spans="1:70" ht="15" x14ac:dyDescent="0.25">
      <c r="A14" s="74" t="s">
        <v>579</v>
      </c>
      <c r="B14" s="1" t="s">
        <v>428</v>
      </c>
      <c r="C14" s="74" t="s">
        <v>578</v>
      </c>
      <c r="D14" s="1">
        <v>2017</v>
      </c>
      <c r="E14">
        <v>19505.013097345101</v>
      </c>
      <c r="G14" s="1" t="s">
        <v>428</v>
      </c>
      <c r="H14" s="74" t="str">
        <f t="shared" si="0"/>
        <v>ERSOLPCF-N</v>
      </c>
      <c r="I14" s="1">
        <v>2030</v>
      </c>
      <c r="J14">
        <v>12178.7471150442</v>
      </c>
      <c r="L14" s="1" t="s">
        <v>428</v>
      </c>
      <c r="M14" s="74" t="str">
        <f t="shared" si="1"/>
        <v>ERSOLPCF-N</v>
      </c>
      <c r="N14" s="1">
        <v>2050</v>
      </c>
      <c r="O14">
        <v>9558.0875398230091</v>
      </c>
      <c r="R14" s="76">
        <f>R60</f>
        <v>0.22286857974215246</v>
      </c>
      <c r="S14" s="76">
        <f>S60</f>
        <v>0.36975375692679613</v>
      </c>
      <c r="T14" s="76">
        <f>T60</f>
        <v>0.15577401159838056</v>
      </c>
      <c r="U14" s="76">
        <f>U60</f>
        <v>4.336520692677031E-2</v>
      </c>
      <c r="V14" s="76">
        <f>V60</f>
        <v>0.20786857974215245</v>
      </c>
      <c r="W14" s="1" t="s">
        <v>1290</v>
      </c>
      <c r="AF14" s="3" t="str">
        <f t="shared" si="3"/>
        <v>ERSOLPCF-N</v>
      </c>
      <c r="AG14" s="58" t="s">
        <v>481</v>
      </c>
      <c r="AH14" s="376" t="str">
        <f t="shared" si="23"/>
        <v>ccons_e</v>
      </c>
      <c r="AI14" s="3">
        <v>3</v>
      </c>
      <c r="AJ14" cm="1">
        <f t="array" ref="AJ14">INDEX($R14:$V14,1,AJ$3)*$E14</f>
        <v>4347.054566857385</v>
      </c>
      <c r="AK14">
        <f t="shared" si="4"/>
        <v>2714.2600725687375</v>
      </c>
      <c r="AL14">
        <f t="shared" si="5"/>
        <v>2130.197395051518</v>
      </c>
      <c r="AN14" s="3" t="str">
        <f t="shared" si="6"/>
        <v>ERSOLPCF-N</v>
      </c>
      <c r="AO14" s="58" t="s">
        <v>481</v>
      </c>
      <c r="AP14" s="376" t="str">
        <f t="shared" si="24"/>
        <v>cmach_e</v>
      </c>
      <c r="AQ14" s="3">
        <v>3</v>
      </c>
      <c r="AR14" cm="1">
        <f t="array" ref="AR14">INDEX($R14:$V14,1,AR$3)*$E14</f>
        <v>7212.0518716497154</v>
      </c>
      <c r="AS14">
        <f t="shared" si="7"/>
        <v>4503.1375004489728</v>
      </c>
      <c r="AT14">
        <f t="shared" si="8"/>
        <v>3534.1387768847562</v>
      </c>
      <c r="AV14" s="3" t="str">
        <f t="shared" si="9"/>
        <v>ERSOLPCF-N</v>
      </c>
      <c r="AW14" s="58" t="s">
        <v>481</v>
      </c>
      <c r="AX14" s="376" t="str">
        <f t="shared" si="25"/>
        <v>cemch_e</v>
      </c>
      <c r="AY14" s="3">
        <v>3</v>
      </c>
      <c r="AZ14" cm="1">
        <f t="array" ref="AZ14">INDEX($R14:$V14,1,AZ$3)*$E14</f>
        <v>3038.3741364524003</v>
      </c>
      <c r="BA14">
        <f t="shared" si="10"/>
        <v>1897.1322943526388</v>
      </c>
      <c r="BB14">
        <f t="shared" si="11"/>
        <v>1488.9016392867261</v>
      </c>
      <c r="BD14" s="3" t="str">
        <f t="shared" si="12"/>
        <v>ERSOLPCF-N</v>
      </c>
      <c r="BE14" s="58" t="s">
        <v>481</v>
      </c>
      <c r="BF14" s="376" t="str">
        <f t="shared" si="26"/>
        <v>cmetp</v>
      </c>
      <c r="BG14" s="3">
        <v>3</v>
      </c>
      <c r="BH14" cm="1">
        <f t="array" ref="BH14">INDEX($R14:$V14,1,BH$3)*$E14</f>
        <v>845.83892907573545</v>
      </c>
      <c r="BI14">
        <f t="shared" si="13"/>
        <v>528.13388875269868</v>
      </c>
      <c r="BJ14">
        <f t="shared" si="14"/>
        <v>414.48844398860979</v>
      </c>
      <c r="BL14" s="3" t="str">
        <f t="shared" si="15"/>
        <v>ERSOLPCF-N</v>
      </c>
      <c r="BM14" s="58" t="s">
        <v>481</v>
      </c>
      <c r="BN14" s="376" t="str">
        <f t="shared" si="27"/>
        <v>cbsrv</v>
      </c>
      <c r="BO14" s="3">
        <v>3</v>
      </c>
      <c r="BP14" cm="1">
        <f t="array" ref="BP14">INDEX($R14:$V14,1,BP$3)*$E14</f>
        <v>4054.4793703972082</v>
      </c>
      <c r="BQ14">
        <f t="shared" si="16"/>
        <v>2531.5788658430743</v>
      </c>
      <c r="BR14">
        <f t="shared" si="17"/>
        <v>1986.8260819541729</v>
      </c>
    </row>
    <row r="15" spans="1:70" ht="15" x14ac:dyDescent="0.25">
      <c r="A15" s="74" t="s">
        <v>581</v>
      </c>
      <c r="B15" s="1" t="s">
        <v>428</v>
      </c>
      <c r="C15" s="74" t="s">
        <v>580</v>
      </c>
      <c r="D15" s="1">
        <v>2017</v>
      </c>
      <c r="E15">
        <v>20793.080000000002</v>
      </c>
      <c r="G15" s="1" t="s">
        <v>428</v>
      </c>
      <c r="H15" s="74" t="str">
        <f t="shared" si="0"/>
        <v>ERSOLPCT-N</v>
      </c>
      <c r="I15" s="1">
        <v>2030</v>
      </c>
      <c r="J15">
        <v>12983.004000000001</v>
      </c>
      <c r="L15" s="1" t="s">
        <v>428</v>
      </c>
      <c r="M15" s="74" t="str">
        <f t="shared" si="1"/>
        <v>ERSOLPCT-N</v>
      </c>
      <c r="N15" s="1">
        <v>2050</v>
      </c>
      <c r="O15">
        <v>10189.281999999999</v>
      </c>
      <c r="R15" s="76">
        <f>R14</f>
        <v>0.22286857974215246</v>
      </c>
      <c r="S15" s="76">
        <f t="shared" ref="S15:V15" si="31">S14</f>
        <v>0.36975375692679613</v>
      </c>
      <c r="T15" s="76">
        <f t="shared" si="31"/>
        <v>0.15577401159838056</v>
      </c>
      <c r="U15" s="76">
        <f t="shared" si="31"/>
        <v>4.336520692677031E-2</v>
      </c>
      <c r="V15" s="76">
        <f t="shared" si="31"/>
        <v>0.20786857974215245</v>
      </c>
      <c r="W15" s="1" t="s">
        <v>1290</v>
      </c>
      <c r="AF15" s="3" t="str">
        <f t="shared" si="3"/>
        <v>ERSOLPCT-N</v>
      </c>
      <c r="AG15" s="58" t="s">
        <v>481</v>
      </c>
      <c r="AH15" s="376" t="str">
        <f t="shared" si="23"/>
        <v>ccons_e</v>
      </c>
      <c r="AI15" s="3">
        <v>3</v>
      </c>
      <c r="AJ15" cm="1">
        <f t="array" ref="AJ15">INDEX($R15:$V15,1,AJ$3)*$E15</f>
        <v>4634.1242080649563</v>
      </c>
      <c r="AK15">
        <f t="shared" si="4"/>
        <v>2893.5036622666848</v>
      </c>
      <c r="AL15">
        <f t="shared" si="5"/>
        <v>2270.8708079322787</v>
      </c>
      <c r="AN15" s="3" t="str">
        <f t="shared" si="6"/>
        <v>ERSOLPCT-N</v>
      </c>
      <c r="AO15" s="58" t="s">
        <v>481</v>
      </c>
      <c r="AP15" s="376" t="str">
        <f t="shared" si="24"/>
        <v>cmach_e</v>
      </c>
      <c r="AQ15" s="3">
        <v>3</v>
      </c>
      <c r="AR15" cm="1">
        <f t="array" ref="AR15">INDEX($R15:$V15,1,AR$3)*$E15</f>
        <v>7688.3194480794264</v>
      </c>
      <c r="AS15">
        <f t="shared" si="7"/>
        <v>4800.5145051956224</v>
      </c>
      <c r="AT15">
        <f t="shared" si="8"/>
        <v>3767.525299886579</v>
      </c>
      <c r="AV15" s="3" t="str">
        <f t="shared" si="9"/>
        <v>ERSOLPCT-N</v>
      </c>
      <c r="AW15" s="58" t="s">
        <v>481</v>
      </c>
      <c r="AX15" s="376" t="str">
        <f t="shared" si="25"/>
        <v>cemch_e</v>
      </c>
      <c r="AY15" s="3">
        <v>3</v>
      </c>
      <c r="AZ15" cm="1">
        <f t="array" ref="AZ15">INDEX($R15:$V15,1,AZ$3)*$E15</f>
        <v>3239.0214850860552</v>
      </c>
      <c r="BA15">
        <f t="shared" si="10"/>
        <v>2022.4146156778213</v>
      </c>
      <c r="BB15">
        <f t="shared" si="11"/>
        <v>1587.2253324471703</v>
      </c>
      <c r="BD15" s="3" t="str">
        <f t="shared" si="12"/>
        <v>ERSOLPCT-N</v>
      </c>
      <c r="BE15" s="58" t="s">
        <v>481</v>
      </c>
      <c r="BF15" s="376" t="str">
        <f t="shared" si="26"/>
        <v>cmetp</v>
      </c>
      <c r="BG15" s="3">
        <v>3</v>
      </c>
      <c r="BH15" cm="1">
        <f t="array" ref="BH15">INDEX($R15:$V15,1,BH$3)*$E15</f>
        <v>901.69621684488925</v>
      </c>
      <c r="BI15">
        <f t="shared" si="13"/>
        <v>563.01065499108665</v>
      </c>
      <c r="BJ15">
        <f t="shared" si="14"/>
        <v>441.86032236521595</v>
      </c>
      <c r="BL15" s="3" t="str">
        <f t="shared" si="15"/>
        <v>ERSOLPCT-N</v>
      </c>
      <c r="BM15" s="58" t="s">
        <v>481</v>
      </c>
      <c r="BN15" s="376" t="str">
        <f t="shared" si="27"/>
        <v>cbsrv</v>
      </c>
      <c r="BO15" s="3">
        <v>3</v>
      </c>
      <c r="BP15" cm="1">
        <f t="array" ref="BP15">INDEX($R15:$V15,1,BP$3)*$E15</f>
        <v>4322.2280080649552</v>
      </c>
      <c r="BQ15">
        <f t="shared" si="16"/>
        <v>2698.7586022666842</v>
      </c>
      <c r="BR15">
        <f t="shared" si="17"/>
        <v>2118.0315779322782</v>
      </c>
    </row>
    <row r="16" spans="1:70" ht="15" x14ac:dyDescent="0.25">
      <c r="A16" s="74" t="s">
        <v>160</v>
      </c>
      <c r="B16" s="1" t="s">
        <v>428</v>
      </c>
      <c r="C16" s="74" t="s">
        <v>582</v>
      </c>
      <c r="D16" s="1">
        <v>2017</v>
      </c>
      <c r="E16">
        <v>21530.351999999999</v>
      </c>
      <c r="G16" s="1" t="s">
        <v>428</v>
      </c>
      <c r="H16" s="74" t="str">
        <f t="shared" si="0"/>
        <v>ERWNDH-N</v>
      </c>
      <c r="I16" s="1">
        <v>2030</v>
      </c>
      <c r="J16">
        <v>17269.898000000001</v>
      </c>
      <c r="L16" s="1" t="s">
        <v>428</v>
      </c>
      <c r="M16" s="74" t="str">
        <f t="shared" si="1"/>
        <v>ERWNDH-N</v>
      </c>
      <c r="N16" s="1">
        <v>2050</v>
      </c>
      <c r="O16">
        <v>16673.754000000001</v>
      </c>
      <c r="R16" s="76">
        <f>R53</f>
        <v>8.9105290219193278E-2</v>
      </c>
      <c r="S16" s="76">
        <f>S53</f>
        <v>0.51961225664094957</v>
      </c>
      <c r="T16" s="76">
        <f>T53</f>
        <v>0.10850614894834829</v>
      </c>
      <c r="U16" s="76">
        <f>U53</f>
        <v>0.17359121125812774</v>
      </c>
      <c r="V16" s="76">
        <f>V53</f>
        <v>0.10918509293338124</v>
      </c>
      <c r="W16" s="1" t="s">
        <v>1290</v>
      </c>
      <c r="AF16" s="3" t="str">
        <f t="shared" si="3"/>
        <v>ERWNDH-N</v>
      </c>
      <c r="AG16" s="58" t="s">
        <v>481</v>
      </c>
      <c r="AH16" s="376" t="str">
        <f t="shared" si="23"/>
        <v>ccons_e</v>
      </c>
      <c r="AI16" s="3">
        <v>3</v>
      </c>
      <c r="AJ16" cm="1">
        <f t="array" ref="AJ16">INDEX($R16:$V16,1,AJ$3)*$E16</f>
        <v>1918.4682634813882</v>
      </c>
      <c r="AK16">
        <f t="shared" si="4"/>
        <v>1538.8392733458654</v>
      </c>
      <c r="AL16">
        <f t="shared" si="5"/>
        <v>1485.7196892134345</v>
      </c>
      <c r="AN16" s="3" t="str">
        <f t="shared" si="6"/>
        <v>ERWNDH-N</v>
      </c>
      <c r="AO16" s="58" t="s">
        <v>481</v>
      </c>
      <c r="AP16" s="376" t="str">
        <f t="shared" si="24"/>
        <v>cmach_e</v>
      </c>
      <c r="AQ16" s="3">
        <v>3</v>
      </c>
      <c r="AR16" cm="1">
        <f t="array" ref="AR16">INDEX($R16:$V16,1,AR$3)*$E16</f>
        <v>11187.434788993982</v>
      </c>
      <c r="AS16">
        <f t="shared" si="7"/>
        <v>8973.6506717390221</v>
      </c>
      <c r="AT16">
        <f t="shared" si="8"/>
        <v>8663.88694261606</v>
      </c>
      <c r="AV16" s="3" t="str">
        <f t="shared" si="9"/>
        <v>ERWNDH-N</v>
      </c>
      <c r="AW16" s="58" t="s">
        <v>481</v>
      </c>
      <c r="AX16" s="376" t="str">
        <f t="shared" si="25"/>
        <v>cemch_e</v>
      </c>
      <c r="AY16" s="3">
        <v>3</v>
      </c>
      <c r="AZ16" cm="1">
        <f t="array" ref="AZ16">INDEX($R16:$V16,1,AZ$3)*$E16</f>
        <v>2336.1755810223681</v>
      </c>
      <c r="BA16">
        <f t="shared" si="10"/>
        <v>1873.8901247107822</v>
      </c>
      <c r="BB16">
        <f t="shared" si="11"/>
        <v>1809.2048350521179</v>
      </c>
      <c r="BD16" s="3" t="str">
        <f t="shared" si="12"/>
        <v>ERWNDH-N</v>
      </c>
      <c r="BE16" s="58" t="s">
        <v>481</v>
      </c>
      <c r="BF16" s="376" t="str">
        <f t="shared" si="26"/>
        <v>cmetp</v>
      </c>
      <c r="BG16" s="3">
        <v>3</v>
      </c>
      <c r="BH16" cm="1">
        <f t="array" ref="BH16">INDEX($R16:$V16,1,BH$3)*$E16</f>
        <v>3737.479882493853</v>
      </c>
      <c r="BI16">
        <f t="shared" si="13"/>
        <v>2997.902512124318</v>
      </c>
      <c r="BJ16">
        <f t="shared" si="14"/>
        <v>2894.4171530800527</v>
      </c>
      <c r="BL16" s="3" t="str">
        <f t="shared" si="15"/>
        <v>ERWNDH-N</v>
      </c>
      <c r="BM16" s="58" t="s">
        <v>481</v>
      </c>
      <c r="BN16" s="376" t="str">
        <f t="shared" si="27"/>
        <v>cbsrv</v>
      </c>
      <c r="BO16" s="3">
        <v>3</v>
      </c>
      <c r="BP16" cm="1">
        <f t="array" ref="BP16">INDEX($R16:$V16,1,BP$3)*$E16</f>
        <v>2350.7934840084108</v>
      </c>
      <c r="BQ16">
        <f t="shared" si="16"/>
        <v>1885.6154180800152</v>
      </c>
      <c r="BR16">
        <f t="shared" si="17"/>
        <v>1820.5253800383375</v>
      </c>
    </row>
    <row r="17" spans="1:70" ht="15" x14ac:dyDescent="0.25">
      <c r="A17" s="74" t="s">
        <v>584</v>
      </c>
      <c r="B17" s="1" t="s">
        <v>428</v>
      </c>
      <c r="C17" s="74" t="s">
        <v>583</v>
      </c>
      <c r="D17" s="1">
        <v>2017</v>
      </c>
      <c r="E17">
        <v>12746.641600000001</v>
      </c>
      <c r="G17" s="1" t="s">
        <v>428</v>
      </c>
      <c r="H17" s="74" t="str">
        <f t="shared" si="0"/>
        <v>ETGICGT-N</v>
      </c>
      <c r="I17" s="1">
        <v>2030</v>
      </c>
      <c r="L17" s="1" t="s">
        <v>428</v>
      </c>
      <c r="M17" s="74" t="str">
        <f t="shared" si="1"/>
        <v>ETGICGT-N</v>
      </c>
      <c r="N17" s="1">
        <v>2050</v>
      </c>
      <c r="R17" s="64">
        <f t="array" ref="R17:V17">TRANSPOSE(EIA!E22:E26)</f>
        <v>0.23825157155721868</v>
      </c>
      <c r="S17" s="64">
        <v>0.47218555012517083</v>
      </c>
      <c r="T17" s="64">
        <v>6.3755533600869635E-2</v>
      </c>
      <c r="U17" s="64">
        <v>0</v>
      </c>
      <c r="V17" s="64">
        <v>0.1445803497789474</v>
      </c>
      <c r="W17" s="1" t="s">
        <v>1291</v>
      </c>
      <c r="AF17" s="3" t="str">
        <f t="shared" si="3"/>
        <v>ETGICGT-N</v>
      </c>
      <c r="AG17" s="58" t="s">
        <v>481</v>
      </c>
      <c r="AH17" s="376" t="str">
        <f t="shared" si="23"/>
        <v>ccons_e</v>
      </c>
      <c r="AI17" s="3">
        <v>3</v>
      </c>
      <c r="AJ17" cm="1">
        <f t="array" ref="AJ17">INDEX($R17:$V17,1,AJ$3)*$E17</f>
        <v>3036.9073932766205</v>
      </c>
      <c r="AK17" t="str">
        <f t="shared" si="4"/>
        <v/>
      </c>
      <c r="AL17" t="str">
        <f t="shared" si="5"/>
        <v/>
      </c>
      <c r="AN17" s="3" t="str">
        <f t="shared" si="6"/>
        <v>ETGICGT-N</v>
      </c>
      <c r="AO17" s="58" t="s">
        <v>481</v>
      </c>
      <c r="AP17" s="376" t="str">
        <f t="shared" si="24"/>
        <v>cmach_e</v>
      </c>
      <c r="AQ17" s="3">
        <v>3</v>
      </c>
      <c r="AR17" cm="1">
        <f t="array" ref="AR17">INDEX($R17:$V17,1,AR$3)*$E17</f>
        <v>6018.7799761443885</v>
      </c>
      <c r="AS17" t="str">
        <f t="shared" si="7"/>
        <v/>
      </c>
      <c r="AT17" t="str">
        <f t="shared" si="8"/>
        <v/>
      </c>
      <c r="AV17" s="3" t="str">
        <f t="shared" si="9"/>
        <v>ETGICGT-N</v>
      </c>
      <c r="AW17" s="58" t="s">
        <v>481</v>
      </c>
      <c r="AX17" s="376" t="str">
        <f t="shared" si="25"/>
        <v>cemch_e</v>
      </c>
      <c r="AY17" s="3">
        <v>3</v>
      </c>
      <c r="AZ17" cm="1">
        <f t="array" ref="AZ17">INDEX($R17:$V17,1,AZ$3)*$E17</f>
        <v>812.66893682704278</v>
      </c>
      <c r="BA17" t="str">
        <f t="shared" si="10"/>
        <v/>
      </c>
      <c r="BB17" t="str">
        <f t="shared" si="11"/>
        <v/>
      </c>
      <c r="BD17" s="3" t="str">
        <f t="shared" si="12"/>
        <v>ETGICGT-N</v>
      </c>
      <c r="BE17" s="58" t="s">
        <v>481</v>
      </c>
      <c r="BF17" s="376" t="str">
        <f t="shared" si="26"/>
        <v>cmetp</v>
      </c>
      <c r="BG17" s="3">
        <v>3</v>
      </c>
      <c r="BH17" cm="1">
        <f t="array" ref="BH17">INDEX($R17:$V17,1,BH$3)*$E17</f>
        <v>0</v>
      </c>
      <c r="BI17" t="str">
        <f t="shared" si="13"/>
        <v/>
      </c>
      <c r="BJ17" t="str">
        <f t="shared" si="14"/>
        <v/>
      </c>
      <c r="BL17" s="3" t="str">
        <f t="shared" si="15"/>
        <v>ETGICGT-N</v>
      </c>
      <c r="BM17" s="58" t="s">
        <v>481</v>
      </c>
      <c r="BN17" s="376" t="str">
        <f t="shared" si="27"/>
        <v>cbsrv</v>
      </c>
      <c r="BO17" s="3">
        <v>3</v>
      </c>
      <c r="BP17" cm="1">
        <f t="array" ref="BP17">INDEX($R17:$V17,1,BP$3)*$E17</f>
        <v>1842.913901034882</v>
      </c>
      <c r="BQ17" t="str">
        <f t="shared" si="16"/>
        <v/>
      </c>
      <c r="BR17" t="str">
        <f t="shared" si="17"/>
        <v/>
      </c>
    </row>
    <row r="18" spans="1:70" ht="15" x14ac:dyDescent="0.25">
      <c r="A18" s="74" t="s">
        <v>586</v>
      </c>
      <c r="B18" s="1" t="s">
        <v>428</v>
      </c>
      <c r="C18" s="74" t="s">
        <v>585</v>
      </c>
      <c r="D18" s="1">
        <v>2017</v>
      </c>
      <c r="E18">
        <v>34758.639999999999</v>
      </c>
      <c r="G18" s="1" t="s">
        <v>428</v>
      </c>
      <c r="H18" s="74" t="str">
        <f t="shared" si="0"/>
        <v>ETHGNGT-N</v>
      </c>
      <c r="I18" s="1">
        <v>2030</v>
      </c>
      <c r="L18" s="1" t="s">
        <v>428</v>
      </c>
      <c r="M18" s="74" t="str">
        <f t="shared" si="1"/>
        <v>ETHGNGT-N</v>
      </c>
      <c r="N18" s="1">
        <v>2050</v>
      </c>
      <c r="R18" s="445">
        <f>R17</f>
        <v>0.23825157155721868</v>
      </c>
      <c r="S18" s="445">
        <f t="shared" ref="S18:V18" si="32">S17</f>
        <v>0.47218555012517083</v>
      </c>
      <c r="T18" s="445">
        <f t="shared" si="32"/>
        <v>6.3755533600869635E-2</v>
      </c>
      <c r="U18" s="445">
        <f t="shared" si="32"/>
        <v>0</v>
      </c>
      <c r="V18" s="445">
        <f t="shared" si="32"/>
        <v>0.1445803497789474</v>
      </c>
      <c r="W18" s="67" t="s">
        <v>1289</v>
      </c>
      <c r="AF18" s="3" t="str">
        <f t="shared" si="3"/>
        <v>ETHGNGT-N</v>
      </c>
      <c r="AG18" s="58" t="s">
        <v>481</v>
      </c>
      <c r="AH18" s="376" t="str">
        <f t="shared" si="23"/>
        <v>ccons_e</v>
      </c>
      <c r="AI18" s="3">
        <v>3</v>
      </c>
      <c r="AJ18" cm="1">
        <f t="array" ref="AJ18">INDEX($R18:$V18,1,AJ$3)*$E18</f>
        <v>8281.3006051916036</v>
      </c>
      <c r="AK18" t="str">
        <f t="shared" si="4"/>
        <v/>
      </c>
      <c r="AL18" t="str">
        <f t="shared" si="5"/>
        <v/>
      </c>
      <c r="AN18" s="3" t="str">
        <f t="shared" si="6"/>
        <v>ETHGNGT-N</v>
      </c>
      <c r="AO18" s="58" t="s">
        <v>481</v>
      </c>
      <c r="AP18" s="376" t="str">
        <f t="shared" si="24"/>
        <v>cmach_e</v>
      </c>
      <c r="AQ18" s="3">
        <v>3</v>
      </c>
      <c r="AR18" cm="1">
        <f t="array" ref="AR18">INDEX($R18:$V18,1,AR$3)*$E18</f>
        <v>16412.527550002767</v>
      </c>
      <c r="AS18" t="str">
        <f t="shared" si="7"/>
        <v/>
      </c>
      <c r="AT18" t="str">
        <f t="shared" si="8"/>
        <v/>
      </c>
      <c r="AV18" s="3" t="str">
        <f t="shared" si="9"/>
        <v>ETHGNGT-N</v>
      </c>
      <c r="AW18" s="58" t="s">
        <v>481</v>
      </c>
      <c r="AX18" s="376" t="str">
        <f t="shared" si="25"/>
        <v>cemch_e</v>
      </c>
      <c r="AY18" s="3">
        <v>3</v>
      </c>
      <c r="AZ18" cm="1">
        <f t="array" ref="AZ18">INDEX($R18:$V18,1,AZ$3)*$E18</f>
        <v>2216.0556404405311</v>
      </c>
      <c r="BA18" t="str">
        <f t="shared" si="10"/>
        <v/>
      </c>
      <c r="BB18" t="str">
        <f t="shared" si="11"/>
        <v/>
      </c>
      <c r="BD18" s="3" t="str">
        <f t="shared" si="12"/>
        <v>ETHGNGT-N</v>
      </c>
      <c r="BE18" s="58" t="s">
        <v>481</v>
      </c>
      <c r="BF18" s="376" t="str">
        <f t="shared" si="26"/>
        <v>cmetp</v>
      </c>
      <c r="BG18" s="3">
        <v>3</v>
      </c>
      <c r="BH18" cm="1">
        <f t="array" ref="BH18">INDEX($R18:$V18,1,BH$3)*$E18</f>
        <v>0</v>
      </c>
      <c r="BI18" t="str">
        <f t="shared" si="13"/>
        <v/>
      </c>
      <c r="BJ18" t="str">
        <f t="shared" si="14"/>
        <v/>
      </c>
      <c r="BL18" s="3" t="str">
        <f t="shared" si="15"/>
        <v>ETHGNGT-N</v>
      </c>
      <c r="BM18" s="58" t="s">
        <v>481</v>
      </c>
      <c r="BN18" s="376" t="str">
        <f t="shared" si="27"/>
        <v>cbsrv</v>
      </c>
      <c r="BO18" s="3">
        <v>3</v>
      </c>
      <c r="BP18" cm="1">
        <f t="array" ref="BP18">INDEX($R18:$V18,1,BP$3)*$E18</f>
        <v>5025.4163290405122</v>
      </c>
      <c r="BQ18" t="str">
        <f t="shared" si="16"/>
        <v/>
      </c>
      <c r="BR18" t="str">
        <f t="shared" si="17"/>
        <v/>
      </c>
    </row>
    <row r="19" spans="1:70" ht="15" x14ac:dyDescent="0.25">
      <c r="A19" s="74" t="s">
        <v>588</v>
      </c>
      <c r="B19" s="1" t="s">
        <v>428</v>
      </c>
      <c r="C19" s="74" t="s">
        <v>587</v>
      </c>
      <c r="D19" s="1">
        <v>2017</v>
      </c>
      <c r="E19">
        <v>13996.989600000001</v>
      </c>
      <c r="G19" s="1" t="s">
        <v>428</v>
      </c>
      <c r="H19" s="74" t="str">
        <f t="shared" si="0"/>
        <v>ETGICCC-N</v>
      </c>
      <c r="I19" s="1">
        <v>2030</v>
      </c>
      <c r="L19" s="1" t="s">
        <v>428</v>
      </c>
      <c r="M19" s="74" t="str">
        <f t="shared" si="1"/>
        <v>ETGICCC-N</v>
      </c>
      <c r="N19" s="1">
        <v>2050</v>
      </c>
      <c r="R19" s="76">
        <f>R17</f>
        <v>0.23825157155721868</v>
      </c>
      <c r="S19" s="76">
        <f t="shared" ref="S19:V19" si="33">S17</f>
        <v>0.47218555012517083</v>
      </c>
      <c r="T19" s="76">
        <f t="shared" si="33"/>
        <v>6.3755533600869635E-2</v>
      </c>
      <c r="U19" s="76">
        <f t="shared" si="33"/>
        <v>0</v>
      </c>
      <c r="V19" s="76">
        <f t="shared" si="33"/>
        <v>0.1445803497789474</v>
      </c>
      <c r="W19" s="76" t="str">
        <f>W17</f>
        <v>EIA</v>
      </c>
      <c r="AF19" s="3" t="str">
        <f t="shared" si="3"/>
        <v>ETGICCC-N</v>
      </c>
      <c r="AG19" s="58" t="s">
        <v>481</v>
      </c>
      <c r="AH19" s="376" t="str">
        <f t="shared" si="23"/>
        <v>ccons_e</v>
      </c>
      <c r="AI19" s="3">
        <v>3</v>
      </c>
      <c r="AJ19" cm="1">
        <f t="array" ref="AJ19">INDEX($R19:$V19,1,AJ$3)*$E19</f>
        <v>3334.8047692700461</v>
      </c>
      <c r="AK19" t="str">
        <f t="shared" si="4"/>
        <v/>
      </c>
      <c r="AL19" t="str">
        <f t="shared" si="5"/>
        <v/>
      </c>
      <c r="AN19" s="3" t="str">
        <f t="shared" si="6"/>
        <v>ETGICCC-N</v>
      </c>
      <c r="AO19" s="58" t="s">
        <v>481</v>
      </c>
      <c r="AP19" s="376" t="str">
        <f t="shared" si="24"/>
        <v>cmach_e</v>
      </c>
      <c r="AQ19" s="3">
        <v>3</v>
      </c>
      <c r="AR19" cm="1">
        <f t="array" ref="AR19">INDEX($R19:$V19,1,AR$3)*$E19</f>
        <v>6609.1762343722949</v>
      </c>
      <c r="AS19" t="str">
        <f t="shared" si="7"/>
        <v/>
      </c>
      <c r="AT19" t="str">
        <f t="shared" si="8"/>
        <v/>
      </c>
      <c r="AV19" s="3" t="str">
        <f t="shared" si="9"/>
        <v>ETGICCC-N</v>
      </c>
      <c r="AW19" s="58" t="s">
        <v>481</v>
      </c>
      <c r="AX19" s="376" t="str">
        <f t="shared" si="25"/>
        <v>cemch_e</v>
      </c>
      <c r="AY19" s="3">
        <v>3</v>
      </c>
      <c r="AZ19" cm="1">
        <f t="array" ref="AZ19">INDEX($R19:$V19,1,AZ$3)*$E19</f>
        <v>892.38554075382285</v>
      </c>
      <c r="BA19" t="str">
        <f t="shared" si="10"/>
        <v/>
      </c>
      <c r="BB19" t="str">
        <f t="shared" si="11"/>
        <v/>
      </c>
      <c r="BD19" s="3" t="str">
        <f t="shared" si="12"/>
        <v>ETGICCC-N</v>
      </c>
      <c r="BE19" s="58" t="s">
        <v>481</v>
      </c>
      <c r="BF19" s="376" t="str">
        <f t="shared" si="26"/>
        <v>cmetp</v>
      </c>
      <c r="BG19" s="3">
        <v>3</v>
      </c>
      <c r="BH19" cm="1">
        <f t="array" ref="BH19">INDEX($R19:$V19,1,BH$3)*$E19</f>
        <v>0</v>
      </c>
      <c r="BI19" t="str">
        <f t="shared" si="13"/>
        <v/>
      </c>
      <c r="BJ19" t="str">
        <f t="shared" si="14"/>
        <v/>
      </c>
      <c r="BL19" s="3" t="str">
        <f t="shared" si="15"/>
        <v>ETGICCC-N</v>
      </c>
      <c r="BM19" s="58" t="s">
        <v>481</v>
      </c>
      <c r="BN19" s="376" t="str">
        <f t="shared" si="27"/>
        <v>cbsrv</v>
      </c>
      <c r="BO19" s="3">
        <v>3</v>
      </c>
      <c r="BP19" cm="1">
        <f t="array" ref="BP19">INDEX($R19:$V19,1,BP$3)*$E19</f>
        <v>2023.6896522202892</v>
      </c>
      <c r="BQ19" t="str">
        <f t="shared" si="16"/>
        <v/>
      </c>
      <c r="BR19" t="str">
        <f t="shared" si="17"/>
        <v/>
      </c>
    </row>
    <row r="20" spans="1:70" ht="15" x14ac:dyDescent="0.25">
      <c r="A20" s="74" t="s">
        <v>590</v>
      </c>
      <c r="B20" s="1" t="s">
        <v>428</v>
      </c>
      <c r="C20" s="74" t="s">
        <v>589</v>
      </c>
      <c r="D20" s="1">
        <v>2017</v>
      </c>
      <c r="E20">
        <v>30757.179199999999</v>
      </c>
      <c r="G20" s="1" t="s">
        <v>428</v>
      </c>
      <c r="H20" s="74" t="str">
        <f t="shared" si="0"/>
        <v>ETGICCC-CCS-N</v>
      </c>
      <c r="I20" s="1">
        <v>2030</v>
      </c>
      <c r="L20" s="1" t="s">
        <v>428</v>
      </c>
      <c r="M20" s="74" t="str">
        <f t="shared" si="1"/>
        <v>ETGICCC-CCS-N</v>
      </c>
      <c r="N20" s="1">
        <v>2050</v>
      </c>
      <c r="R20" s="445">
        <f>R19</f>
        <v>0.23825157155721868</v>
      </c>
      <c r="S20" s="445">
        <f t="shared" ref="S20:V20" si="34">S19</f>
        <v>0.47218555012517083</v>
      </c>
      <c r="T20" s="445">
        <f t="shared" si="34"/>
        <v>6.3755533600869635E-2</v>
      </c>
      <c r="U20" s="445">
        <f t="shared" si="34"/>
        <v>0</v>
      </c>
      <c r="V20" s="445">
        <f t="shared" si="34"/>
        <v>0.1445803497789474</v>
      </c>
      <c r="W20" s="67" t="s">
        <v>1289</v>
      </c>
      <c r="AF20" s="3" t="str">
        <f t="shared" si="3"/>
        <v>ETGICCC-CCS-N</v>
      </c>
      <c r="AG20" s="58" t="s">
        <v>481</v>
      </c>
      <c r="AH20" s="376" t="str">
        <f t="shared" si="23"/>
        <v>ccons_e</v>
      </c>
      <c r="AI20" s="3">
        <v>3</v>
      </c>
      <c r="AJ20" cm="1">
        <f t="array" ref="AJ20">INDEX($R20:$V20,1,AJ$3)*$E20</f>
        <v>7327.9462810669975</v>
      </c>
      <c r="AK20" t="str">
        <f t="shared" si="4"/>
        <v/>
      </c>
      <c r="AL20" t="str">
        <f t="shared" si="5"/>
        <v/>
      </c>
      <c r="AN20" s="3" t="str">
        <f t="shared" si="6"/>
        <v>ETGICCC-CCS-N</v>
      </c>
      <c r="AO20" s="58" t="s">
        <v>481</v>
      </c>
      <c r="AP20" s="376" t="str">
        <f t="shared" si="24"/>
        <v>cmach_e</v>
      </c>
      <c r="AQ20" s="3">
        <v>3</v>
      </c>
      <c r="AR20" cm="1">
        <f t="array" ref="AR20">INDEX($R20:$V20,1,AR$3)*$E20</f>
        <v>14523.09558085046</v>
      </c>
      <c r="AS20" t="str">
        <f t="shared" si="7"/>
        <v/>
      </c>
      <c r="AT20" t="str">
        <f t="shared" si="8"/>
        <v/>
      </c>
      <c r="AV20" s="3" t="str">
        <f t="shared" si="9"/>
        <v>ETGICCC-CCS-N</v>
      </c>
      <c r="AW20" s="58" t="s">
        <v>481</v>
      </c>
      <c r="AX20" s="376" t="str">
        <f t="shared" si="25"/>
        <v>cemch_e</v>
      </c>
      <c r="AY20" s="3">
        <v>3</v>
      </c>
      <c r="AZ20" cm="1">
        <f t="array" ref="AZ20">INDEX($R20:$V20,1,AZ$3)*$E20</f>
        <v>1960.9403719535685</v>
      </c>
      <c r="BA20" t="str">
        <f t="shared" si="10"/>
        <v/>
      </c>
      <c r="BB20" t="str">
        <f t="shared" si="11"/>
        <v/>
      </c>
      <c r="BD20" s="3" t="str">
        <f t="shared" si="12"/>
        <v>ETGICCC-CCS-N</v>
      </c>
      <c r="BE20" s="58" t="s">
        <v>481</v>
      </c>
      <c r="BF20" s="376" t="str">
        <f t="shared" si="26"/>
        <v>cmetp</v>
      </c>
      <c r="BG20" s="3">
        <v>3</v>
      </c>
      <c r="BH20" cm="1">
        <f t="array" ref="BH20">INDEX($R20:$V20,1,BH$3)*$E20</f>
        <v>0</v>
      </c>
      <c r="BI20" t="str">
        <f t="shared" si="13"/>
        <v/>
      </c>
      <c r="BJ20" t="str">
        <f t="shared" si="14"/>
        <v/>
      </c>
      <c r="BL20" s="3" t="str">
        <f t="shared" si="15"/>
        <v>ETGICCC-CCS-N</v>
      </c>
      <c r="BM20" s="58" t="s">
        <v>481</v>
      </c>
      <c r="BN20" s="376" t="str">
        <f t="shared" si="27"/>
        <v>cbsrv</v>
      </c>
      <c r="BO20" s="3">
        <v>3</v>
      </c>
      <c r="BP20" cm="1">
        <f t="array" ref="BP20">INDEX($R20:$V20,1,BP$3)*$E20</f>
        <v>4446.8837269497653</v>
      </c>
      <c r="BQ20" t="str">
        <f t="shared" si="16"/>
        <v/>
      </c>
      <c r="BR20" t="str">
        <f t="shared" si="17"/>
        <v/>
      </c>
    </row>
    <row r="21" spans="1:70" ht="15" x14ac:dyDescent="0.25">
      <c r="A21" s="74" t="s">
        <v>592</v>
      </c>
      <c r="B21" s="1" t="s">
        <v>428</v>
      </c>
      <c r="C21" s="74" t="s">
        <v>591</v>
      </c>
      <c r="D21" s="1">
        <v>2017</v>
      </c>
      <c r="E21">
        <v>19886.750400000001</v>
      </c>
      <c r="G21" s="1" t="s">
        <v>428</v>
      </c>
      <c r="H21" s="74" t="str">
        <f t="shared" si="0"/>
        <v>ETGICEN-N</v>
      </c>
      <c r="I21" s="1">
        <v>2030</v>
      </c>
      <c r="L21" s="1" t="s">
        <v>428</v>
      </c>
      <c r="M21" s="74" t="str">
        <f t="shared" si="1"/>
        <v>ETGICEN-N</v>
      </c>
      <c r="N21" s="1">
        <v>2050</v>
      </c>
      <c r="R21" s="76">
        <f>R19</f>
        <v>0.23825157155721868</v>
      </c>
      <c r="S21" s="76">
        <f t="shared" ref="S21:V21" si="35">S19</f>
        <v>0.47218555012517083</v>
      </c>
      <c r="T21" s="76">
        <f t="shared" si="35"/>
        <v>6.3755533600869635E-2</v>
      </c>
      <c r="U21" s="76">
        <f t="shared" si="35"/>
        <v>0</v>
      </c>
      <c r="V21" s="76">
        <f t="shared" si="35"/>
        <v>0.1445803497789474</v>
      </c>
      <c r="W21" s="76" t="str">
        <f>W19</f>
        <v>EIA</v>
      </c>
      <c r="AF21" s="3" t="str">
        <f t="shared" si="3"/>
        <v>ETGICEN-N</v>
      </c>
      <c r="AG21" s="58" t="s">
        <v>481</v>
      </c>
      <c r="AH21" s="376" t="str">
        <f t="shared" si="23"/>
        <v>ccons_e</v>
      </c>
      <c r="AI21" s="3">
        <v>3</v>
      </c>
      <c r="AJ21" cm="1">
        <f t="array" ref="AJ21">INDEX($R21:$V21,1,AJ$3)*$E21</f>
        <v>4738.0495359661472</v>
      </c>
      <c r="AK21" t="str">
        <f t="shared" si="4"/>
        <v/>
      </c>
      <c r="AL21" t="str">
        <f t="shared" si="5"/>
        <v/>
      </c>
      <c r="AN21" s="3" t="str">
        <f t="shared" si="6"/>
        <v>ETGICEN-N</v>
      </c>
      <c r="AO21" s="58" t="s">
        <v>481</v>
      </c>
      <c r="AP21" s="376" t="str">
        <f t="shared" si="24"/>
        <v>cmach_e</v>
      </c>
      <c r="AQ21" s="3">
        <v>3</v>
      </c>
      <c r="AR21" cm="1">
        <f t="array" ref="AR21">INDEX($R21:$V21,1,AR$3)*$E21</f>
        <v>9390.2361778259619</v>
      </c>
      <c r="AS21" t="str">
        <f t="shared" si="7"/>
        <v/>
      </c>
      <c r="AT21" t="str">
        <f t="shared" si="8"/>
        <v/>
      </c>
      <c r="AV21" s="3" t="str">
        <f t="shared" si="9"/>
        <v>ETGICEN-N</v>
      </c>
      <c r="AW21" s="58" t="s">
        <v>481</v>
      </c>
      <c r="AX21" s="376" t="str">
        <f t="shared" si="25"/>
        <v>cemch_e</v>
      </c>
      <c r="AY21" s="3">
        <v>3</v>
      </c>
      <c r="AZ21" cm="1">
        <f t="array" ref="AZ21">INDEX($R21:$V21,1,AZ$3)*$E21</f>
        <v>1267.8903833393076</v>
      </c>
      <c r="BA21" t="str">
        <f t="shared" si="10"/>
        <v/>
      </c>
      <c r="BB21" t="str">
        <f t="shared" si="11"/>
        <v/>
      </c>
      <c r="BD21" s="3" t="str">
        <f t="shared" si="12"/>
        <v>ETGICEN-N</v>
      </c>
      <c r="BE21" s="58" t="s">
        <v>481</v>
      </c>
      <c r="BF21" s="376" t="str">
        <f t="shared" si="26"/>
        <v>cmetp</v>
      </c>
      <c r="BG21" s="3">
        <v>3</v>
      </c>
      <c r="BH21" cm="1">
        <f t="array" ref="BH21">INDEX($R21:$V21,1,BH$3)*$E21</f>
        <v>0</v>
      </c>
      <c r="BI21" t="str">
        <f t="shared" si="13"/>
        <v/>
      </c>
      <c r="BJ21" t="str">
        <f t="shared" si="14"/>
        <v/>
      </c>
      <c r="BL21" s="3" t="str">
        <f t="shared" si="15"/>
        <v>ETGICEN-N</v>
      </c>
      <c r="BM21" s="58" t="s">
        <v>481</v>
      </c>
      <c r="BN21" s="376" t="str">
        <f t="shared" si="27"/>
        <v>cbsrv</v>
      </c>
      <c r="BO21" s="3">
        <v>3</v>
      </c>
      <c r="BP21" cm="1">
        <f t="array" ref="BP21">INDEX($R21:$V21,1,BP$3)*$E21</f>
        <v>2875.2333287986221</v>
      </c>
      <c r="BQ21" t="str">
        <f t="shared" si="16"/>
        <v/>
      </c>
      <c r="BR21" t="str">
        <f t="shared" si="17"/>
        <v/>
      </c>
    </row>
    <row r="22" spans="1:70" ht="15" x14ac:dyDescent="0.25">
      <c r="A22" s="74" t="s">
        <v>594</v>
      </c>
      <c r="B22" s="1" t="s">
        <v>428</v>
      </c>
      <c r="C22" s="74" t="s">
        <v>593</v>
      </c>
      <c r="D22" s="1">
        <v>2017</v>
      </c>
      <c r="E22">
        <v>26589.4890765661</v>
      </c>
      <c r="G22" s="1" t="s">
        <v>428</v>
      </c>
      <c r="H22" s="74" t="str">
        <f t="shared" si="0"/>
        <v>ERBIO-N</v>
      </c>
      <c r="I22" s="1">
        <v>2030</v>
      </c>
      <c r="L22" s="1" t="s">
        <v>428</v>
      </c>
      <c r="M22" s="74" t="str">
        <f t="shared" si="1"/>
        <v>ERBIO-N</v>
      </c>
      <c r="N22" s="1">
        <v>2050</v>
      </c>
      <c r="R22" s="76">
        <f>R21</f>
        <v>0.23825157155721868</v>
      </c>
      <c r="S22" s="76">
        <f t="shared" ref="S22:W22" si="36">S21</f>
        <v>0.47218555012517083</v>
      </c>
      <c r="T22" s="76">
        <f t="shared" si="36"/>
        <v>6.3755533600869635E-2</v>
      </c>
      <c r="U22" s="76">
        <f t="shared" si="36"/>
        <v>0</v>
      </c>
      <c r="V22" s="76">
        <f t="shared" si="36"/>
        <v>0.1445803497789474</v>
      </c>
      <c r="W22" s="76" t="str">
        <f t="shared" si="36"/>
        <v>EIA</v>
      </c>
      <c r="AF22" s="3" t="str">
        <f t="shared" si="3"/>
        <v>ERBIO-N</v>
      </c>
      <c r="AG22" s="58" t="s">
        <v>481</v>
      </c>
      <c r="AH22" s="376" t="str">
        <f t="shared" si="23"/>
        <v>ccons_e</v>
      </c>
      <c r="AI22" s="3">
        <v>3</v>
      </c>
      <c r="AJ22" cm="1">
        <f t="array" ref="AJ22">INDEX($R22:$V22,1,AJ$3)*$E22</f>
        <v>6334.987559395373</v>
      </c>
      <c r="AK22" t="str">
        <f t="shared" si="4"/>
        <v/>
      </c>
      <c r="AL22" t="str">
        <f t="shared" si="5"/>
        <v/>
      </c>
      <c r="AN22" s="3" t="str">
        <f t="shared" si="6"/>
        <v>ERBIO-N</v>
      </c>
      <c r="AO22" s="58" t="s">
        <v>481</v>
      </c>
      <c r="AP22" s="376" t="str">
        <f t="shared" si="24"/>
        <v>cmach_e</v>
      </c>
      <c r="AQ22" s="3">
        <v>3</v>
      </c>
      <c r="AR22" cm="1">
        <f t="array" ref="AR22">INDEX($R22:$V22,1,AR$3)*$E22</f>
        <v>12555.172527165585</v>
      </c>
      <c r="AS22" t="str">
        <f t="shared" si="7"/>
        <v/>
      </c>
      <c r="AT22" t="str">
        <f t="shared" si="8"/>
        <v/>
      </c>
      <c r="AV22" s="3" t="str">
        <f t="shared" si="9"/>
        <v>ERBIO-N</v>
      </c>
      <c r="AW22" s="58" t="s">
        <v>481</v>
      </c>
      <c r="AX22" s="376" t="str">
        <f t="shared" si="25"/>
        <v>cemch_e</v>
      </c>
      <c r="AY22" s="3">
        <v>3</v>
      </c>
      <c r="AZ22" cm="1">
        <f t="array" ref="AZ22">INDEX($R22:$V22,1,AZ$3)*$E22</f>
        <v>1695.2270642509661</v>
      </c>
      <c r="BA22" t="str">
        <f t="shared" si="10"/>
        <v/>
      </c>
      <c r="BB22" t="str">
        <f t="shared" si="11"/>
        <v/>
      </c>
      <c r="BD22" s="3" t="str">
        <f t="shared" si="12"/>
        <v>ERBIO-N</v>
      </c>
      <c r="BE22" s="58" t="s">
        <v>481</v>
      </c>
      <c r="BF22" s="376" t="str">
        <f t="shared" si="26"/>
        <v>cmetp</v>
      </c>
      <c r="BG22" s="3">
        <v>3</v>
      </c>
      <c r="BH22" cm="1">
        <f t="array" ref="BH22">INDEX($R22:$V22,1,BH$3)*$E22</f>
        <v>0</v>
      </c>
      <c r="BI22" t="str">
        <f t="shared" si="13"/>
        <v/>
      </c>
      <c r="BJ22" t="str">
        <f t="shared" si="14"/>
        <v/>
      </c>
      <c r="BL22" s="3" t="str">
        <f t="shared" si="15"/>
        <v>ERBIO-N</v>
      </c>
      <c r="BM22" s="58" t="s">
        <v>481</v>
      </c>
      <c r="BN22" s="376" t="str">
        <f t="shared" si="27"/>
        <v>cbsrv</v>
      </c>
      <c r="BO22" s="3">
        <v>3</v>
      </c>
      <c r="BP22" cm="1">
        <f t="array" ref="BP22">INDEX($R22:$V22,1,BP$3)*$E22</f>
        <v>3844.3176311334278</v>
      </c>
      <c r="BQ22" t="str">
        <f t="shared" si="16"/>
        <v/>
      </c>
      <c r="BR22" t="str">
        <f t="shared" si="17"/>
        <v/>
      </c>
    </row>
    <row r="23" spans="1:70" ht="15" x14ac:dyDescent="0.25">
      <c r="A23" s="74" t="s">
        <v>596</v>
      </c>
      <c r="B23" s="1" t="s">
        <v>428</v>
      </c>
      <c r="C23" s="74" t="s">
        <v>595</v>
      </c>
      <c r="D23" s="1">
        <v>2017</v>
      </c>
      <c r="E23">
        <v>26589.4890765661</v>
      </c>
      <c r="G23" s="1" t="s">
        <v>428</v>
      </c>
      <c r="H23" s="74" t="str">
        <f t="shared" si="0"/>
        <v>ERBIG-N</v>
      </c>
      <c r="I23" s="1">
        <v>2030</v>
      </c>
      <c r="L23" s="1" t="s">
        <v>428</v>
      </c>
      <c r="M23" s="74" t="str">
        <f t="shared" si="1"/>
        <v>ERBIG-N</v>
      </c>
      <c r="N23" s="1">
        <v>2050</v>
      </c>
      <c r="R23" s="76">
        <f>R22</f>
        <v>0.23825157155721868</v>
      </c>
      <c r="S23" s="76">
        <f t="shared" ref="S23" si="37">S22</f>
        <v>0.47218555012517083</v>
      </c>
      <c r="T23" s="76">
        <f t="shared" ref="T23" si="38">T22</f>
        <v>6.3755533600869635E-2</v>
      </c>
      <c r="U23" s="76">
        <f t="shared" ref="U23" si="39">U22</f>
        <v>0</v>
      </c>
      <c r="V23" s="76">
        <f t="shared" ref="V23" si="40">V22</f>
        <v>0.1445803497789474</v>
      </c>
      <c r="W23" s="76" t="str">
        <f t="shared" ref="W23" si="41">W22</f>
        <v>EIA</v>
      </c>
      <c r="AF23" s="3" t="str">
        <f t="shared" si="3"/>
        <v>ERBIG-N</v>
      </c>
      <c r="AG23" s="58" t="s">
        <v>481</v>
      </c>
      <c r="AH23" s="376" t="str">
        <f t="shared" si="23"/>
        <v>ccons_e</v>
      </c>
      <c r="AI23" s="3">
        <v>3</v>
      </c>
      <c r="AJ23" cm="1">
        <f t="array" ref="AJ23">INDEX($R23:$V23,1,AJ$3)*$E23</f>
        <v>6334.987559395373</v>
      </c>
      <c r="AK23" t="str">
        <f t="shared" si="4"/>
        <v/>
      </c>
      <c r="AL23" t="str">
        <f t="shared" si="5"/>
        <v/>
      </c>
      <c r="AN23" s="3" t="str">
        <f t="shared" si="6"/>
        <v>ERBIG-N</v>
      </c>
      <c r="AO23" s="58" t="s">
        <v>481</v>
      </c>
      <c r="AP23" s="376" t="str">
        <f t="shared" si="24"/>
        <v>cmach_e</v>
      </c>
      <c r="AQ23" s="3">
        <v>3</v>
      </c>
      <c r="AR23" cm="1">
        <f t="array" ref="AR23">INDEX($R23:$V23,1,AR$3)*$E23</f>
        <v>12555.172527165585</v>
      </c>
      <c r="AS23" t="str">
        <f t="shared" si="7"/>
        <v/>
      </c>
      <c r="AT23" t="str">
        <f t="shared" si="8"/>
        <v/>
      </c>
      <c r="AV23" s="3" t="str">
        <f t="shared" si="9"/>
        <v>ERBIG-N</v>
      </c>
      <c r="AW23" s="58" t="s">
        <v>481</v>
      </c>
      <c r="AX23" s="376" t="str">
        <f t="shared" si="25"/>
        <v>cemch_e</v>
      </c>
      <c r="AY23" s="3">
        <v>3</v>
      </c>
      <c r="AZ23" cm="1">
        <f t="array" ref="AZ23">INDEX($R23:$V23,1,AZ$3)*$E23</f>
        <v>1695.2270642509661</v>
      </c>
      <c r="BA23" t="str">
        <f t="shared" si="10"/>
        <v/>
      </c>
      <c r="BB23" t="str">
        <f t="shared" si="11"/>
        <v/>
      </c>
      <c r="BD23" s="3" t="str">
        <f t="shared" si="12"/>
        <v>ERBIG-N</v>
      </c>
      <c r="BE23" s="58" t="s">
        <v>481</v>
      </c>
      <c r="BF23" s="376" t="str">
        <f t="shared" si="26"/>
        <v>cmetp</v>
      </c>
      <c r="BG23" s="3">
        <v>3</v>
      </c>
      <c r="BH23" cm="1">
        <f t="array" ref="BH23">INDEX($R23:$V23,1,BH$3)*$E23</f>
        <v>0</v>
      </c>
      <c r="BI23" t="str">
        <f t="shared" si="13"/>
        <v/>
      </c>
      <c r="BJ23" t="str">
        <f t="shared" si="14"/>
        <v/>
      </c>
      <c r="BL23" s="3" t="str">
        <f t="shared" si="15"/>
        <v>ERBIG-N</v>
      </c>
      <c r="BM23" s="58" t="s">
        <v>481</v>
      </c>
      <c r="BN23" s="376" t="str">
        <f t="shared" si="27"/>
        <v>cbsrv</v>
      </c>
      <c r="BO23" s="3">
        <v>3</v>
      </c>
      <c r="BP23" cm="1">
        <f t="array" ref="BP23">INDEX($R23:$V23,1,BP$3)*$E23</f>
        <v>3844.3176311334278</v>
      </c>
      <c r="BQ23" t="str">
        <f t="shared" si="16"/>
        <v/>
      </c>
      <c r="BR23" t="str">
        <f t="shared" si="17"/>
        <v/>
      </c>
    </row>
    <row r="24" spans="1:70" ht="15" x14ac:dyDescent="0.25">
      <c r="A24" s="74" t="s">
        <v>598</v>
      </c>
      <c r="B24" s="1" t="s">
        <v>428</v>
      </c>
      <c r="C24" s="74" t="s">
        <v>597</v>
      </c>
      <c r="D24" s="1">
        <v>2017</v>
      </c>
      <c r="E24">
        <v>38195.713600000003</v>
      </c>
      <c r="G24" s="1" t="s">
        <v>428</v>
      </c>
      <c r="H24" s="74" t="str">
        <f t="shared" si="0"/>
        <v>ESTSUTL</v>
      </c>
      <c r="I24" s="1">
        <v>2030</v>
      </c>
      <c r="J24">
        <v>20263.657963585501</v>
      </c>
      <c r="L24" s="1" t="s">
        <v>428</v>
      </c>
      <c r="M24" s="74" t="str">
        <f t="shared" si="1"/>
        <v>ESTSUTL</v>
      </c>
      <c r="N24" s="1">
        <v>2050</v>
      </c>
      <c r="O24">
        <v>14015.472524548701</v>
      </c>
      <c r="R24" s="76">
        <f>R69</f>
        <v>5.4200542005420058E-2</v>
      </c>
      <c r="S24" s="76">
        <f>S69</f>
        <v>0.58265582655826553</v>
      </c>
      <c r="T24" s="76">
        <f>T69</f>
        <v>0.15176151761517614</v>
      </c>
      <c r="U24" s="76">
        <f>U69</f>
        <v>0</v>
      </c>
      <c r="V24" s="76">
        <f>V69</f>
        <v>0.21138211382113822</v>
      </c>
      <c r="W24" s="1" t="s">
        <v>530</v>
      </c>
      <c r="AF24" s="3" t="str">
        <f t="shared" si="3"/>
        <v>ESTSUTL</v>
      </c>
      <c r="AG24" s="58" t="s">
        <v>481</v>
      </c>
      <c r="AH24" s="376" t="str">
        <f t="shared" si="23"/>
        <v>ccons_e</v>
      </c>
      <c r="AI24" s="3">
        <v>3</v>
      </c>
      <c r="AJ24" cm="1">
        <f t="array" ref="AJ24">INDEX($R24:$V24,1,AJ$3)*$E24</f>
        <v>2070.2283794037944</v>
      </c>
      <c r="AK24">
        <f t="shared" si="4"/>
        <v>1098.3012446387806</v>
      </c>
      <c r="AL24">
        <f t="shared" si="5"/>
        <v>759.64620729261253</v>
      </c>
      <c r="AN24" s="3" t="str">
        <f t="shared" si="6"/>
        <v>ESTSUTL</v>
      </c>
      <c r="AO24" s="58" t="s">
        <v>481</v>
      </c>
      <c r="AP24" s="376" t="str">
        <f t="shared" si="24"/>
        <v>cmach_e</v>
      </c>
      <c r="AQ24" s="3">
        <v>3</v>
      </c>
      <c r="AR24" cm="1">
        <f t="array" ref="AR24">INDEX($R24:$V24,1,AR$3)*$E24</f>
        <v>22254.955078590785</v>
      </c>
      <c r="AS24">
        <f t="shared" si="7"/>
        <v>11806.738379866891</v>
      </c>
      <c r="AT24">
        <f t="shared" si="8"/>
        <v>8166.1967283955837</v>
      </c>
      <c r="AV24" s="3" t="str">
        <f t="shared" si="9"/>
        <v>ESTSUTL</v>
      </c>
      <c r="AW24" s="58" t="s">
        <v>481</v>
      </c>
      <c r="AX24" s="376" t="str">
        <f t="shared" si="25"/>
        <v>cemch_e</v>
      </c>
      <c r="AY24" s="3">
        <v>3</v>
      </c>
      <c r="AZ24" cm="1">
        <f t="array" ref="AZ24">INDEX($R24:$V24,1,AZ$3)*$E24</f>
        <v>5796.6394623306232</v>
      </c>
      <c r="BA24">
        <f t="shared" si="10"/>
        <v>3075.2434849885854</v>
      </c>
      <c r="BB24">
        <f t="shared" si="11"/>
        <v>2127.0093804193148</v>
      </c>
      <c r="BD24" s="3" t="str">
        <f t="shared" si="12"/>
        <v>ESTSUTL</v>
      </c>
      <c r="BE24" s="58" t="s">
        <v>481</v>
      </c>
      <c r="BF24" s="376" t="str">
        <f t="shared" si="26"/>
        <v>cmetp</v>
      </c>
      <c r="BG24" s="3">
        <v>3</v>
      </c>
      <c r="BH24" cm="1">
        <f t="array" ref="BH24">INDEX($R24:$V24,1,BH$3)*$E24</f>
        <v>0</v>
      </c>
      <c r="BI24">
        <f t="shared" si="13"/>
        <v>0</v>
      </c>
      <c r="BJ24">
        <f t="shared" si="14"/>
        <v>0</v>
      </c>
      <c r="BL24" s="3" t="str">
        <f t="shared" si="15"/>
        <v>ESTSUTL</v>
      </c>
      <c r="BM24" s="58" t="s">
        <v>481</v>
      </c>
      <c r="BN24" s="376" t="str">
        <f t="shared" si="27"/>
        <v>cbsrv</v>
      </c>
      <c r="BO24" s="3">
        <v>3</v>
      </c>
      <c r="BP24" cm="1">
        <f t="array" ref="BP24">INDEX($R24:$V24,1,BP$3)*$E24</f>
        <v>8073.8906796747979</v>
      </c>
      <c r="BQ24">
        <f t="shared" si="16"/>
        <v>4283.3748540912447</v>
      </c>
      <c r="BR24">
        <f t="shared" si="17"/>
        <v>2962.6202084411889</v>
      </c>
    </row>
    <row r="25" spans="1:70" ht="15" x14ac:dyDescent="0.25">
      <c r="A25" t="s">
        <v>1100</v>
      </c>
      <c r="B25" s="1" t="s">
        <v>428</v>
      </c>
      <c r="C25" s="74" t="s">
        <v>1099</v>
      </c>
      <c r="D25" s="1">
        <v>2017</v>
      </c>
      <c r="E25">
        <v>22625.8151929204</v>
      </c>
      <c r="G25" s="1" t="s">
        <v>428</v>
      </c>
      <c r="H25" s="74" t="str">
        <f t="shared" si="0"/>
        <v>ERSOLPRA-N</v>
      </c>
      <c r="I25" s="1">
        <v>2030</v>
      </c>
      <c r="J25">
        <v>14127.346653451301</v>
      </c>
      <c r="L25" s="1" t="s">
        <v>428</v>
      </c>
      <c r="M25" s="74" t="str">
        <f t="shared" si="1"/>
        <v>ERSOLPRA-N</v>
      </c>
      <c r="N25" s="1">
        <v>2050</v>
      </c>
      <c r="O25">
        <v>11087.3815461947</v>
      </c>
      <c r="R25" s="76">
        <f t="shared" ref="R25:V29" si="42">R$65</f>
        <v>0.27669172932330827</v>
      </c>
      <c r="S25" s="76">
        <f t="shared" si="42"/>
        <v>0.3007518796992481</v>
      </c>
      <c r="T25" s="76">
        <f t="shared" si="42"/>
        <v>0.18195488721804515</v>
      </c>
      <c r="U25" s="76">
        <f t="shared" si="42"/>
        <v>0</v>
      </c>
      <c r="V25" s="76">
        <f t="shared" si="42"/>
        <v>0.24060150375939846</v>
      </c>
      <c r="AF25" s="3" t="str">
        <f t="shared" si="3"/>
        <v>ERSOLPRA-N</v>
      </c>
      <c r="AG25" s="58" t="s">
        <v>481</v>
      </c>
      <c r="AH25" s="376" t="str">
        <f t="shared" si="23"/>
        <v>ccons_e</v>
      </c>
      <c r="AI25" s="3">
        <v>3</v>
      </c>
      <c r="AJ25" cm="1">
        <f t="array" ref="AJ25">INDEX($R25:$V25,1,AJ$3)*$E25</f>
        <v>6260.375933078727</v>
      </c>
      <c r="AK25">
        <f t="shared" si="4"/>
        <v>3908.9199762932922</v>
      </c>
      <c r="AL25">
        <f t="shared" si="5"/>
        <v>3067.7867736839466</v>
      </c>
      <c r="AN25" s="3" t="str">
        <f t="shared" si="6"/>
        <v>ERSOLPRA-N</v>
      </c>
      <c r="AO25" s="58" t="s">
        <v>481</v>
      </c>
      <c r="AP25" s="376" t="str">
        <f t="shared" si="24"/>
        <v>cmach_e</v>
      </c>
      <c r="AQ25" s="3">
        <v>3</v>
      </c>
      <c r="AR25" cm="1">
        <f t="array" ref="AR25">INDEX($R25:$V25,1,AR$3)*$E25</f>
        <v>6804.7564489986162</v>
      </c>
      <c r="AS25">
        <f t="shared" si="7"/>
        <v>4248.8260611883607</v>
      </c>
      <c r="AT25">
        <f t="shared" si="8"/>
        <v>3334.5508409608115</v>
      </c>
      <c r="AV25" s="3" t="str">
        <f t="shared" si="9"/>
        <v>ERSOLPRA-N</v>
      </c>
      <c r="AW25" s="58" t="s">
        <v>481</v>
      </c>
      <c r="AX25" s="376" t="str">
        <f t="shared" si="25"/>
        <v>cemch_e</v>
      </c>
      <c r="AY25" s="3">
        <v>3</v>
      </c>
      <c r="AZ25" cm="1">
        <f t="array" ref="AZ25">INDEX($R25:$V25,1,AZ$3)*$E25</f>
        <v>4116.877651644164</v>
      </c>
      <c r="BA25">
        <f t="shared" si="10"/>
        <v>2570.5397670189591</v>
      </c>
      <c r="BB25">
        <f t="shared" si="11"/>
        <v>2017.4032587812917</v>
      </c>
      <c r="BD25" s="3" t="str">
        <f t="shared" si="12"/>
        <v>ERSOLPRA-N</v>
      </c>
      <c r="BE25" s="58" t="s">
        <v>481</v>
      </c>
      <c r="BF25" s="376" t="str">
        <f t="shared" si="26"/>
        <v>cmetp</v>
      </c>
      <c r="BG25" s="3">
        <v>3</v>
      </c>
      <c r="BH25" cm="1">
        <f t="array" ref="BH25">INDEX($R25:$V25,1,BH$3)*$E25</f>
        <v>0</v>
      </c>
      <c r="BI25">
        <f t="shared" si="13"/>
        <v>0</v>
      </c>
      <c r="BJ25">
        <f t="shared" si="14"/>
        <v>0</v>
      </c>
      <c r="BL25" s="3" t="str">
        <f t="shared" si="15"/>
        <v>ERSOLPRA-N</v>
      </c>
      <c r="BM25" s="58" t="s">
        <v>481</v>
      </c>
      <c r="BN25" s="376" t="str">
        <f t="shared" si="27"/>
        <v>cbsrv</v>
      </c>
      <c r="BO25" s="3">
        <v>3</v>
      </c>
      <c r="BP25" cm="1">
        <f t="array" ref="BP25">INDEX($R25:$V25,1,BP$3)*$E25</f>
        <v>5443.8051591988924</v>
      </c>
      <c r="BQ25">
        <f t="shared" si="16"/>
        <v>3399.0608489506885</v>
      </c>
      <c r="BR25">
        <f t="shared" si="17"/>
        <v>2667.640672768649</v>
      </c>
    </row>
    <row r="26" spans="1:70" ht="15" x14ac:dyDescent="0.25">
      <c r="A26" t="s">
        <v>1102</v>
      </c>
      <c r="B26" s="1" t="s">
        <v>428</v>
      </c>
      <c r="C26" s="74" t="s">
        <v>1101</v>
      </c>
      <c r="D26" s="1">
        <v>2017</v>
      </c>
      <c r="E26">
        <v>22625.8151929204</v>
      </c>
      <c r="G26" s="1" t="s">
        <v>428</v>
      </c>
      <c r="H26" s="74" t="str">
        <f t="shared" si="0"/>
        <v>ERSOLPRM-N</v>
      </c>
      <c r="I26" s="1">
        <v>2030</v>
      </c>
      <c r="J26">
        <v>14127.346653451301</v>
      </c>
      <c r="L26" s="1" t="s">
        <v>428</v>
      </c>
      <c r="M26" s="74" t="str">
        <f t="shared" si="1"/>
        <v>ERSOLPRM-N</v>
      </c>
      <c r="N26" s="1">
        <v>2050</v>
      </c>
      <c r="O26">
        <v>11087.3815461947</v>
      </c>
      <c r="R26" s="76">
        <f t="shared" si="42"/>
        <v>0.27669172932330827</v>
      </c>
      <c r="S26" s="76">
        <f t="shared" si="42"/>
        <v>0.3007518796992481</v>
      </c>
      <c r="T26" s="76">
        <f t="shared" si="42"/>
        <v>0.18195488721804515</v>
      </c>
      <c r="U26" s="76">
        <f t="shared" si="42"/>
        <v>0</v>
      </c>
      <c r="V26" s="76">
        <f t="shared" si="42"/>
        <v>0.24060150375939846</v>
      </c>
      <c r="AF26" s="3" t="str">
        <f t="shared" si="3"/>
        <v>ERSOLPRM-N</v>
      </c>
      <c r="AG26" s="58" t="s">
        <v>481</v>
      </c>
      <c r="AH26" s="376" t="str">
        <f t="shared" si="23"/>
        <v>ccons_e</v>
      </c>
      <c r="AI26" s="3">
        <v>3</v>
      </c>
      <c r="AJ26" cm="1">
        <f t="array" ref="AJ26">INDEX($R26:$V26,1,AJ$3)*$E26</f>
        <v>6260.375933078727</v>
      </c>
      <c r="AK26">
        <f t="shared" si="4"/>
        <v>3908.9199762932922</v>
      </c>
      <c r="AL26">
        <f t="shared" si="5"/>
        <v>3067.7867736839466</v>
      </c>
      <c r="AN26" s="3" t="str">
        <f t="shared" si="6"/>
        <v>ERSOLPRM-N</v>
      </c>
      <c r="AO26" s="58" t="s">
        <v>481</v>
      </c>
      <c r="AP26" s="376" t="str">
        <f t="shared" si="24"/>
        <v>cmach_e</v>
      </c>
      <c r="AQ26" s="3">
        <v>3</v>
      </c>
      <c r="AR26" cm="1">
        <f t="array" ref="AR26">INDEX($R26:$V26,1,AR$3)*$E26</f>
        <v>6804.7564489986162</v>
      </c>
      <c r="AS26">
        <f t="shared" si="7"/>
        <v>4248.8260611883607</v>
      </c>
      <c r="AT26">
        <f t="shared" si="8"/>
        <v>3334.5508409608115</v>
      </c>
      <c r="AV26" s="3" t="str">
        <f t="shared" si="9"/>
        <v>ERSOLPRM-N</v>
      </c>
      <c r="AW26" s="58" t="s">
        <v>481</v>
      </c>
      <c r="AX26" s="376" t="str">
        <f t="shared" si="25"/>
        <v>cemch_e</v>
      </c>
      <c r="AY26" s="3">
        <v>3</v>
      </c>
      <c r="AZ26" cm="1">
        <f t="array" ref="AZ26">INDEX($R26:$V26,1,AZ$3)*$E26</f>
        <v>4116.877651644164</v>
      </c>
      <c r="BA26">
        <f t="shared" si="10"/>
        <v>2570.5397670189591</v>
      </c>
      <c r="BB26">
        <f t="shared" si="11"/>
        <v>2017.4032587812917</v>
      </c>
      <c r="BD26" s="3" t="str">
        <f t="shared" si="12"/>
        <v>ERSOLPRM-N</v>
      </c>
      <c r="BE26" s="58" t="s">
        <v>481</v>
      </c>
      <c r="BF26" s="376" t="str">
        <f t="shared" si="26"/>
        <v>cmetp</v>
      </c>
      <c r="BG26" s="3">
        <v>3</v>
      </c>
      <c r="BH26" cm="1">
        <f t="array" ref="BH26">INDEX($R26:$V26,1,BH$3)*$E26</f>
        <v>0</v>
      </c>
      <c r="BI26">
        <f t="shared" si="13"/>
        <v>0</v>
      </c>
      <c r="BJ26">
        <f t="shared" si="14"/>
        <v>0</v>
      </c>
      <c r="BL26" s="3" t="str">
        <f t="shared" si="15"/>
        <v>ERSOLPRM-N</v>
      </c>
      <c r="BM26" s="58" t="s">
        <v>481</v>
      </c>
      <c r="BN26" s="376" t="str">
        <f t="shared" si="27"/>
        <v>cbsrv</v>
      </c>
      <c r="BO26" s="3">
        <v>3</v>
      </c>
      <c r="BP26" cm="1">
        <f t="array" ref="BP26">INDEX($R26:$V26,1,BP$3)*$E26</f>
        <v>5443.8051591988924</v>
      </c>
      <c r="BQ26">
        <f t="shared" si="16"/>
        <v>3399.0608489506885</v>
      </c>
      <c r="BR26">
        <f t="shared" si="17"/>
        <v>2667.640672768649</v>
      </c>
    </row>
    <row r="27" spans="1:70" ht="15" x14ac:dyDescent="0.25">
      <c r="A27" t="s">
        <v>1104</v>
      </c>
      <c r="B27" s="1" t="s">
        <v>428</v>
      </c>
      <c r="C27" s="74" t="s">
        <v>1103</v>
      </c>
      <c r="D27" s="1">
        <v>2017</v>
      </c>
      <c r="E27">
        <v>22625.8151929204</v>
      </c>
      <c r="G27" s="1" t="s">
        <v>428</v>
      </c>
      <c r="H27" s="74" t="str">
        <f t="shared" si="0"/>
        <v>ERSOLPRC-N</v>
      </c>
      <c r="I27" s="1">
        <v>2030</v>
      </c>
      <c r="J27">
        <v>14127.346653451301</v>
      </c>
      <c r="L27" s="1" t="s">
        <v>428</v>
      </c>
      <c r="M27" s="74" t="str">
        <f t="shared" si="1"/>
        <v>ERSOLPRC-N</v>
      </c>
      <c r="N27" s="1">
        <v>2050</v>
      </c>
      <c r="O27">
        <v>11087.3815461947</v>
      </c>
      <c r="R27" s="76">
        <f t="shared" si="42"/>
        <v>0.27669172932330827</v>
      </c>
      <c r="S27" s="76">
        <f t="shared" si="42"/>
        <v>0.3007518796992481</v>
      </c>
      <c r="T27" s="76">
        <f t="shared" si="42"/>
        <v>0.18195488721804515</v>
      </c>
      <c r="U27" s="76">
        <f t="shared" si="42"/>
        <v>0</v>
      </c>
      <c r="V27" s="76">
        <f t="shared" si="42"/>
        <v>0.24060150375939846</v>
      </c>
      <c r="AF27" s="3" t="str">
        <f t="shared" si="3"/>
        <v>ERSOLPRC-N</v>
      </c>
      <c r="AG27" s="58" t="s">
        <v>481</v>
      </c>
      <c r="AH27" s="376" t="str">
        <f t="shared" si="23"/>
        <v>ccons_e</v>
      </c>
      <c r="AI27" s="3">
        <v>3</v>
      </c>
      <c r="AJ27" cm="1">
        <f t="array" ref="AJ27">INDEX($R27:$V27,1,AJ$3)*$E27</f>
        <v>6260.375933078727</v>
      </c>
      <c r="AK27">
        <f t="shared" si="4"/>
        <v>3908.9199762932922</v>
      </c>
      <c r="AL27">
        <f t="shared" si="5"/>
        <v>3067.7867736839466</v>
      </c>
      <c r="AN27" s="3" t="str">
        <f t="shared" si="6"/>
        <v>ERSOLPRC-N</v>
      </c>
      <c r="AO27" s="58" t="s">
        <v>481</v>
      </c>
      <c r="AP27" s="376" t="str">
        <f t="shared" si="24"/>
        <v>cmach_e</v>
      </c>
      <c r="AQ27" s="3">
        <v>3</v>
      </c>
      <c r="AR27" cm="1">
        <f t="array" ref="AR27">INDEX($R27:$V27,1,AR$3)*$E27</f>
        <v>6804.7564489986162</v>
      </c>
      <c r="AS27">
        <f t="shared" si="7"/>
        <v>4248.8260611883607</v>
      </c>
      <c r="AT27">
        <f t="shared" si="8"/>
        <v>3334.5508409608115</v>
      </c>
      <c r="AV27" s="3" t="str">
        <f t="shared" si="9"/>
        <v>ERSOLPRC-N</v>
      </c>
      <c r="AW27" s="58" t="s">
        <v>481</v>
      </c>
      <c r="AX27" s="376" t="str">
        <f t="shared" si="25"/>
        <v>cemch_e</v>
      </c>
      <c r="AY27" s="3">
        <v>3</v>
      </c>
      <c r="AZ27" cm="1">
        <f t="array" ref="AZ27">INDEX($R27:$V27,1,AZ$3)*$E27</f>
        <v>4116.877651644164</v>
      </c>
      <c r="BA27">
        <f t="shared" si="10"/>
        <v>2570.5397670189591</v>
      </c>
      <c r="BB27">
        <f t="shared" si="11"/>
        <v>2017.4032587812917</v>
      </c>
      <c r="BD27" s="3" t="str">
        <f t="shared" si="12"/>
        <v>ERSOLPRC-N</v>
      </c>
      <c r="BE27" s="58" t="s">
        <v>481</v>
      </c>
      <c r="BF27" s="376" t="str">
        <f t="shared" si="26"/>
        <v>cmetp</v>
      </c>
      <c r="BG27" s="3">
        <v>3</v>
      </c>
      <c r="BH27" cm="1">
        <f t="array" ref="BH27">INDEX($R27:$V27,1,BH$3)*$E27</f>
        <v>0</v>
      </c>
      <c r="BI27">
        <f t="shared" si="13"/>
        <v>0</v>
      </c>
      <c r="BJ27">
        <f t="shared" si="14"/>
        <v>0</v>
      </c>
      <c r="BL27" s="3" t="str">
        <f t="shared" si="15"/>
        <v>ERSOLPRC-N</v>
      </c>
      <c r="BM27" s="58" t="s">
        <v>481</v>
      </c>
      <c r="BN27" s="376" t="str">
        <f t="shared" si="27"/>
        <v>cbsrv</v>
      </c>
      <c r="BO27" s="3">
        <v>3</v>
      </c>
      <c r="BP27" cm="1">
        <f t="array" ref="BP27">INDEX($R27:$V27,1,BP$3)*$E27</f>
        <v>5443.8051591988924</v>
      </c>
      <c r="BQ27">
        <f t="shared" si="16"/>
        <v>3399.0608489506885</v>
      </c>
      <c r="BR27">
        <f t="shared" si="17"/>
        <v>2667.640672768649</v>
      </c>
    </row>
    <row r="28" spans="1:70" ht="15" x14ac:dyDescent="0.25">
      <c r="A28" t="s">
        <v>1106</v>
      </c>
      <c r="B28" s="1" t="s">
        <v>428</v>
      </c>
      <c r="C28" s="74" t="s">
        <v>1105</v>
      </c>
      <c r="D28" s="1">
        <v>2017</v>
      </c>
      <c r="E28">
        <v>34133.772920354</v>
      </c>
      <c r="G28" s="1" t="s">
        <v>428</v>
      </c>
      <c r="H28" s="74" t="str">
        <f t="shared" si="0"/>
        <v>ERSOLPRR-N</v>
      </c>
      <c r="I28" s="1">
        <v>2030</v>
      </c>
      <c r="J28">
        <v>21312.8074513274</v>
      </c>
      <c r="L28" s="1" t="s">
        <v>428</v>
      </c>
      <c r="M28" s="74" t="str">
        <f t="shared" si="1"/>
        <v>ERSOLPRR-N</v>
      </c>
      <c r="N28" s="1">
        <v>2050</v>
      </c>
      <c r="O28">
        <v>16726.653194690301</v>
      </c>
      <c r="R28" s="76">
        <f t="shared" si="42"/>
        <v>0.27669172932330827</v>
      </c>
      <c r="S28" s="76">
        <f t="shared" si="42"/>
        <v>0.3007518796992481</v>
      </c>
      <c r="T28" s="76">
        <f t="shared" si="42"/>
        <v>0.18195488721804515</v>
      </c>
      <c r="U28" s="76">
        <f t="shared" si="42"/>
        <v>0</v>
      </c>
      <c r="V28" s="76">
        <f t="shared" si="42"/>
        <v>0.24060150375939846</v>
      </c>
      <c r="AF28" s="3" t="str">
        <f t="shared" si="3"/>
        <v>ERSOLPRR-N</v>
      </c>
      <c r="AG28" s="58" t="s">
        <v>481</v>
      </c>
      <c r="AH28" s="376" t="str">
        <f t="shared" si="23"/>
        <v>ccons_e</v>
      </c>
      <c r="AI28" s="3">
        <v>3</v>
      </c>
      <c r="AJ28" cm="1">
        <f t="array" ref="AJ28">INDEX($R28:$V28,1,AJ$3)*$E28</f>
        <v>9444.532657661859</v>
      </c>
      <c r="AK28">
        <f t="shared" si="4"/>
        <v>5897.0775504424691</v>
      </c>
      <c r="AL28">
        <f t="shared" si="5"/>
        <v>4628.1265982300993</v>
      </c>
      <c r="AN28" s="3" t="str">
        <f t="shared" si="6"/>
        <v>ERSOLPRR-N</v>
      </c>
      <c r="AO28" s="58" t="s">
        <v>481</v>
      </c>
      <c r="AP28" s="376" t="str">
        <f t="shared" si="24"/>
        <v>cmach_e</v>
      </c>
      <c r="AQ28" s="3">
        <v>3</v>
      </c>
      <c r="AR28" cm="1">
        <f t="array" ref="AR28">INDEX($R28:$V28,1,AR$3)*$E28</f>
        <v>10265.796367023759</v>
      </c>
      <c r="AS28">
        <f t="shared" si="7"/>
        <v>6409.8669026548569</v>
      </c>
      <c r="AT28">
        <f t="shared" si="8"/>
        <v>5030.5723893805416</v>
      </c>
      <c r="AV28" s="3" t="str">
        <f t="shared" si="9"/>
        <v>ERSOLPRR-N</v>
      </c>
      <c r="AW28" s="58" t="s">
        <v>481</v>
      </c>
      <c r="AX28" s="376" t="str">
        <f t="shared" si="25"/>
        <v>cemch_e</v>
      </c>
      <c r="AY28" s="3">
        <v>3</v>
      </c>
      <c r="AZ28" cm="1">
        <f t="array" ref="AZ28">INDEX($R28:$V28,1,AZ$3)*$E28</f>
        <v>6210.8068020493756</v>
      </c>
      <c r="BA28">
        <f t="shared" si="10"/>
        <v>3877.9694761061892</v>
      </c>
      <c r="BB28">
        <f t="shared" si="11"/>
        <v>3043.4962955752285</v>
      </c>
      <c r="BD28" s="3" t="str">
        <f t="shared" si="12"/>
        <v>ERSOLPRR-N</v>
      </c>
      <c r="BE28" s="58" t="s">
        <v>481</v>
      </c>
      <c r="BF28" s="376" t="str">
        <f t="shared" si="26"/>
        <v>cmetp</v>
      </c>
      <c r="BG28" s="3">
        <v>3</v>
      </c>
      <c r="BH28" cm="1">
        <f t="array" ref="BH28">INDEX($R28:$V28,1,BH$3)*$E28</f>
        <v>0</v>
      </c>
      <c r="BI28">
        <f t="shared" si="13"/>
        <v>0</v>
      </c>
      <c r="BJ28">
        <f t="shared" si="14"/>
        <v>0</v>
      </c>
      <c r="BL28" s="3" t="str">
        <f t="shared" si="15"/>
        <v>ERSOLPRR-N</v>
      </c>
      <c r="BM28" s="58" t="s">
        <v>481</v>
      </c>
      <c r="BN28" s="376" t="str">
        <f t="shared" si="27"/>
        <v>cbsrv</v>
      </c>
      <c r="BO28" s="3">
        <v>3</v>
      </c>
      <c r="BP28" cm="1">
        <f t="array" ref="BP28">INDEX($R28:$V28,1,BP$3)*$E28</f>
        <v>8212.6370936190069</v>
      </c>
      <c r="BQ28">
        <f t="shared" si="16"/>
        <v>5127.8935221238853</v>
      </c>
      <c r="BR28">
        <f t="shared" si="17"/>
        <v>4024.457911504433</v>
      </c>
    </row>
    <row r="29" spans="1:70" ht="15" x14ac:dyDescent="0.25">
      <c r="A29" t="s">
        <v>1108</v>
      </c>
      <c r="B29" s="1" t="s">
        <v>428</v>
      </c>
      <c r="C29" s="74" t="s">
        <v>1107</v>
      </c>
      <c r="D29" s="1">
        <v>2017</v>
      </c>
      <c r="E29">
        <v>22625.8151929204</v>
      </c>
      <c r="G29" s="1" t="s">
        <v>428</v>
      </c>
      <c r="H29" s="74" t="str">
        <f t="shared" si="0"/>
        <v>ERSOLPRI-N</v>
      </c>
      <c r="I29" s="1">
        <v>2030</v>
      </c>
      <c r="J29">
        <v>14127.346653451301</v>
      </c>
      <c r="L29" s="1" t="s">
        <v>428</v>
      </c>
      <c r="M29" s="74" t="str">
        <f t="shared" si="1"/>
        <v>ERSOLPRI-N</v>
      </c>
      <c r="N29" s="1">
        <v>2050</v>
      </c>
      <c r="O29">
        <v>11087.3815461947</v>
      </c>
      <c r="R29" s="76">
        <f t="shared" si="42"/>
        <v>0.27669172932330827</v>
      </c>
      <c r="S29" s="76">
        <f t="shared" si="42"/>
        <v>0.3007518796992481</v>
      </c>
      <c r="T29" s="76">
        <f t="shared" si="42"/>
        <v>0.18195488721804515</v>
      </c>
      <c r="U29" s="76">
        <f t="shared" si="42"/>
        <v>0</v>
      </c>
      <c r="V29" s="76">
        <f t="shared" si="42"/>
        <v>0.24060150375939846</v>
      </c>
      <c r="AF29" s="3" t="str">
        <f t="shared" si="3"/>
        <v>ERSOLPRI-N</v>
      </c>
      <c r="AG29" s="58" t="s">
        <v>481</v>
      </c>
      <c r="AH29" s="376" t="str">
        <f t="shared" si="23"/>
        <v>ccons_e</v>
      </c>
      <c r="AI29" s="3">
        <v>3</v>
      </c>
      <c r="AJ29" cm="1">
        <f t="array" ref="AJ29">INDEX($R29:$V29,1,AJ$3)*$E29</f>
        <v>6260.375933078727</v>
      </c>
      <c r="AK29">
        <f t="shared" si="4"/>
        <v>3908.9199762932922</v>
      </c>
      <c r="AL29">
        <f t="shared" si="5"/>
        <v>3067.7867736839466</v>
      </c>
      <c r="AN29" s="3" t="str">
        <f t="shared" si="6"/>
        <v>ERSOLPRI-N</v>
      </c>
      <c r="AO29" s="58" t="s">
        <v>481</v>
      </c>
      <c r="AP29" s="376" t="str">
        <f t="shared" si="24"/>
        <v>cmach_e</v>
      </c>
      <c r="AQ29" s="3">
        <v>3</v>
      </c>
      <c r="AR29" cm="1">
        <f t="array" ref="AR29">INDEX($R29:$V29,1,AR$3)*$E29</f>
        <v>6804.7564489986162</v>
      </c>
      <c r="AS29">
        <f t="shared" si="7"/>
        <v>4248.8260611883607</v>
      </c>
      <c r="AT29">
        <f t="shared" si="8"/>
        <v>3334.5508409608115</v>
      </c>
      <c r="AV29" s="3" t="str">
        <f t="shared" si="9"/>
        <v>ERSOLPRI-N</v>
      </c>
      <c r="AW29" s="58" t="s">
        <v>481</v>
      </c>
      <c r="AX29" s="376" t="str">
        <f t="shared" si="25"/>
        <v>cemch_e</v>
      </c>
      <c r="AY29" s="3">
        <v>3</v>
      </c>
      <c r="AZ29" cm="1">
        <f t="array" ref="AZ29">INDEX($R29:$V29,1,AZ$3)*$E29</f>
        <v>4116.877651644164</v>
      </c>
      <c r="BA29">
        <f t="shared" si="10"/>
        <v>2570.5397670189591</v>
      </c>
      <c r="BB29">
        <f t="shared" si="11"/>
        <v>2017.4032587812917</v>
      </c>
      <c r="BD29" s="3" t="str">
        <f t="shared" si="12"/>
        <v>ERSOLPRI-N</v>
      </c>
      <c r="BE29" s="58" t="s">
        <v>481</v>
      </c>
      <c r="BF29" s="376" t="str">
        <f t="shared" si="26"/>
        <v>cmetp</v>
      </c>
      <c r="BG29" s="3">
        <v>3</v>
      </c>
      <c r="BH29" cm="1">
        <f t="array" ref="BH29">INDEX($R29:$V29,1,BH$3)*$E29</f>
        <v>0</v>
      </c>
      <c r="BI29">
        <f t="shared" si="13"/>
        <v>0</v>
      </c>
      <c r="BJ29">
        <f t="shared" si="14"/>
        <v>0</v>
      </c>
      <c r="BL29" s="3" t="str">
        <f t="shared" si="15"/>
        <v>ERSOLPRI-N</v>
      </c>
      <c r="BM29" s="58" t="s">
        <v>481</v>
      </c>
      <c r="BN29" s="376" t="str">
        <f t="shared" si="27"/>
        <v>cbsrv</v>
      </c>
      <c r="BO29" s="3">
        <v>3</v>
      </c>
      <c r="BP29" cm="1">
        <f t="array" ref="BP29">INDEX($R29:$V29,1,BP$3)*$E29</f>
        <v>5443.8051591988924</v>
      </c>
      <c r="BQ29">
        <f t="shared" si="16"/>
        <v>3399.0608489506885</v>
      </c>
      <c r="BR29">
        <f t="shared" si="17"/>
        <v>2667.640672768649</v>
      </c>
    </row>
    <row r="30" spans="1:70" ht="15" x14ac:dyDescent="0.25">
      <c r="A30" s="74" t="s">
        <v>104</v>
      </c>
      <c r="B30" s="1" t="s">
        <v>428</v>
      </c>
      <c r="C30" s="74" t="s">
        <v>1292</v>
      </c>
      <c r="D30" s="1">
        <v>2017</v>
      </c>
      <c r="E30">
        <v>6329.3065449900196</v>
      </c>
      <c r="G30" s="1"/>
      <c r="H30" s="74"/>
      <c r="I30" s="1"/>
      <c r="L30" s="1"/>
      <c r="M30" s="74"/>
      <c r="N30" s="1"/>
      <c r="R30" s="76">
        <f t="array" ref="R30:V30">TRANSPOSE(TnD!F41:F45)</f>
        <v>0.37254742464181873</v>
      </c>
      <c r="S30" s="76">
        <v>0</v>
      </c>
      <c r="T30" s="76">
        <v>0.27633003442404069</v>
      </c>
      <c r="U30" s="76">
        <v>0.24273242406279547</v>
      </c>
      <c r="V30" s="76">
        <v>0.10839011687134519</v>
      </c>
      <c r="W30" s="1" t="s">
        <v>1316</v>
      </c>
      <c r="AF30" s="3" t="str">
        <f t="shared" si="3"/>
        <v>ETRANS</v>
      </c>
      <c r="AG30" s="58" t="s">
        <v>481</v>
      </c>
      <c r="AH30" s="376" t="str">
        <f t="shared" si="23"/>
        <v>ccons_e</v>
      </c>
      <c r="AI30" s="3">
        <v>3</v>
      </c>
      <c r="AJ30" cm="1">
        <f t="array" ref="AJ30">INDEX($R30:$V30,1,AJ$3)*$E30</f>
        <v>2357.9668531046395</v>
      </c>
      <c r="AK30" t="str">
        <f t="shared" si="4"/>
        <v/>
      </c>
      <c r="AL30" t="str">
        <f t="shared" si="5"/>
        <v/>
      </c>
      <c r="AN30" s="3">
        <f t="shared" si="6"/>
        <v>0</v>
      </c>
      <c r="AO30" s="58" t="s">
        <v>481</v>
      </c>
      <c r="AP30" s="376" t="str">
        <f t="shared" si="24"/>
        <v>cmach_e</v>
      </c>
      <c r="AQ30" s="3">
        <v>3</v>
      </c>
      <c r="AR30" cm="1">
        <f t="array" ref="AR30">INDEX($R30:$V30,1,AR$3)*$E30</f>
        <v>0</v>
      </c>
      <c r="AS30" t="str">
        <f t="shared" si="7"/>
        <v/>
      </c>
      <c r="AT30" t="str">
        <f t="shared" si="8"/>
        <v/>
      </c>
      <c r="AV30" s="3">
        <f t="shared" si="9"/>
        <v>0</v>
      </c>
      <c r="AW30" s="58" t="s">
        <v>481</v>
      </c>
      <c r="AX30" s="376" t="str">
        <f t="shared" si="25"/>
        <v>cemch_e</v>
      </c>
      <c r="AY30" s="3">
        <v>3</v>
      </c>
      <c r="AZ30" cm="1">
        <f t="array" ref="AZ30">INDEX($R30:$V30,1,AZ$3)*$E30</f>
        <v>1748.9774954573982</v>
      </c>
      <c r="BA30" t="str">
        <f t="shared" si="10"/>
        <v/>
      </c>
      <c r="BB30" t="str">
        <f t="shared" si="11"/>
        <v/>
      </c>
      <c r="BD30" s="3">
        <f t="shared" si="12"/>
        <v>0</v>
      </c>
      <c r="BE30" s="58" t="s">
        <v>481</v>
      </c>
      <c r="BF30" s="376" t="str">
        <f t="shared" si="26"/>
        <v>cmetp</v>
      </c>
      <c r="BG30" s="3">
        <v>3</v>
      </c>
      <c r="BH30" cm="1">
        <f t="array" ref="BH30">INDEX($R30:$V30,1,BH$3)*$E30</f>
        <v>1536.3279203019442</v>
      </c>
      <c r="BI30" t="str">
        <f t="shared" si="13"/>
        <v/>
      </c>
      <c r="BJ30" t="str">
        <f t="shared" si="14"/>
        <v/>
      </c>
      <c r="BL30" s="3">
        <f t="shared" si="15"/>
        <v>0</v>
      </c>
      <c r="BM30" s="58" t="s">
        <v>481</v>
      </c>
      <c r="BN30" s="376" t="str">
        <f t="shared" si="27"/>
        <v>cbsrv</v>
      </c>
      <c r="BO30" s="3">
        <v>3</v>
      </c>
      <c r="BP30" cm="1">
        <f t="array" ref="BP30">INDEX($R30:$V30,1,BP$3)*$E30</f>
        <v>686.03427612603821</v>
      </c>
      <c r="BQ30" t="str">
        <f t="shared" si="16"/>
        <v/>
      </c>
      <c r="BR30" t="str">
        <f t="shared" si="17"/>
        <v/>
      </c>
    </row>
    <row r="31" spans="1:70" ht="15" x14ac:dyDescent="0.25">
      <c r="A31" s="74" t="s">
        <v>1293</v>
      </c>
      <c r="B31" s="1" t="s">
        <v>428</v>
      </c>
      <c r="C31" s="74" t="s">
        <v>24</v>
      </c>
      <c r="D31" s="1">
        <v>2017</v>
      </c>
      <c r="E31">
        <v>2812</v>
      </c>
      <c r="G31" s="1"/>
      <c r="H31" s="74"/>
      <c r="I31" s="1"/>
      <c r="L31" s="1"/>
      <c r="M31" s="74"/>
      <c r="N31" s="1"/>
      <c r="R31" s="76">
        <f>R30</f>
        <v>0.37254742464181873</v>
      </c>
      <c r="S31" s="76">
        <f t="shared" ref="S31:V31" si="43">S30</f>
        <v>0</v>
      </c>
      <c r="T31" s="76">
        <f t="shared" si="43"/>
        <v>0.27633003442404069</v>
      </c>
      <c r="U31" s="76">
        <f t="shared" si="43"/>
        <v>0.24273242406279547</v>
      </c>
      <c r="V31" s="76">
        <f t="shared" si="43"/>
        <v>0.10839011687134519</v>
      </c>
      <c r="AF31" s="3" t="str">
        <f t="shared" si="3"/>
        <v>ETRANSDUM</v>
      </c>
      <c r="AG31" s="58" t="s">
        <v>481</v>
      </c>
      <c r="AH31" s="376" t="str">
        <f t="shared" si="23"/>
        <v>ccons_e</v>
      </c>
      <c r="AI31" s="3">
        <v>3</v>
      </c>
      <c r="AJ31" cm="1">
        <f t="array" ref="AJ31">INDEX($R31:$V31,1,AJ$3)*$E31</f>
        <v>1047.6033580927942</v>
      </c>
      <c r="AK31" t="str">
        <f t="shared" si="4"/>
        <v/>
      </c>
      <c r="AL31" t="str">
        <f t="shared" si="5"/>
        <v/>
      </c>
      <c r="AN31" s="3">
        <f t="shared" si="6"/>
        <v>0</v>
      </c>
      <c r="AO31" s="58" t="s">
        <v>481</v>
      </c>
      <c r="AP31" s="376" t="str">
        <f t="shared" si="24"/>
        <v>cmach_e</v>
      </c>
      <c r="AQ31" s="3">
        <v>3</v>
      </c>
      <c r="AR31" cm="1">
        <f t="array" ref="AR31">INDEX($R31:$V31,1,AR$3)*$E31</f>
        <v>0</v>
      </c>
      <c r="AS31" t="str">
        <f t="shared" si="7"/>
        <v/>
      </c>
      <c r="AT31" t="str">
        <f t="shared" si="8"/>
        <v/>
      </c>
      <c r="AV31" s="3">
        <f t="shared" si="9"/>
        <v>0</v>
      </c>
      <c r="AW31" s="58" t="s">
        <v>481</v>
      </c>
      <c r="AX31" s="376" t="str">
        <f t="shared" si="25"/>
        <v>cemch_e</v>
      </c>
      <c r="AY31" s="3">
        <v>3</v>
      </c>
      <c r="AZ31" cm="1">
        <f t="array" ref="AZ31">INDEX($R31:$V31,1,AZ$3)*$E31</f>
        <v>777.04005680040245</v>
      </c>
      <c r="BA31" t="str">
        <f t="shared" si="10"/>
        <v/>
      </c>
      <c r="BB31" t="str">
        <f t="shared" si="11"/>
        <v/>
      </c>
      <c r="BD31" s="3">
        <f t="shared" si="12"/>
        <v>0</v>
      </c>
      <c r="BE31" s="58" t="s">
        <v>481</v>
      </c>
      <c r="BF31" s="376" t="str">
        <f t="shared" si="26"/>
        <v>cmetp</v>
      </c>
      <c r="BG31" s="3">
        <v>3</v>
      </c>
      <c r="BH31" cm="1">
        <f t="array" ref="BH31">INDEX($R31:$V31,1,BH$3)*$E31</f>
        <v>682.56357646458082</v>
      </c>
      <c r="BI31" t="str">
        <f t="shared" si="13"/>
        <v/>
      </c>
      <c r="BJ31" t="str">
        <f t="shared" si="14"/>
        <v/>
      </c>
      <c r="BL31" s="3">
        <f t="shared" si="15"/>
        <v>0</v>
      </c>
      <c r="BM31" s="58" t="s">
        <v>481</v>
      </c>
      <c r="BN31" s="376" t="str">
        <f t="shared" si="27"/>
        <v>cbsrv</v>
      </c>
      <c r="BO31" s="3">
        <v>3</v>
      </c>
      <c r="BP31" cm="1">
        <f t="array" ref="BP31">INDEX($R31:$V31,1,BP$3)*$E31</f>
        <v>304.79300864222267</v>
      </c>
      <c r="BQ31" t="str">
        <f t="shared" si="16"/>
        <v/>
      </c>
      <c r="BR31" t="str">
        <f t="shared" si="17"/>
        <v/>
      </c>
    </row>
    <row r="32" spans="1:70" ht="15" x14ac:dyDescent="0.25">
      <c r="A32" s="74" t="s">
        <v>1294</v>
      </c>
      <c r="B32" s="1" t="s">
        <v>428</v>
      </c>
      <c r="C32" s="74" t="s">
        <v>23</v>
      </c>
      <c r="D32" s="1">
        <v>2017</v>
      </c>
      <c r="E32">
        <v>36989.331580508697</v>
      </c>
      <c r="G32" s="1"/>
      <c r="H32" s="74"/>
      <c r="I32" s="1"/>
      <c r="L32" s="1"/>
      <c r="M32" s="74"/>
      <c r="N32" s="1"/>
      <c r="R32" s="76">
        <f t="array" ref="R32:V32">TRANSPOSE(TnD!F58:F62)</f>
        <v>8.7838589047483789E-2</v>
      </c>
      <c r="S32" s="76">
        <v>0</v>
      </c>
      <c r="T32" s="76">
        <v>0.5308492864354234</v>
      </c>
      <c r="U32" s="76">
        <v>0.24197538445937869</v>
      </c>
      <c r="V32" s="76">
        <v>0.13933674005771418</v>
      </c>
      <c r="W32" s="1" t="s">
        <v>1317</v>
      </c>
      <c r="AF32" s="3" t="str">
        <f t="shared" si="3"/>
        <v>XAGRELC</v>
      </c>
      <c r="AG32" s="58" t="s">
        <v>481</v>
      </c>
      <c r="AH32" s="376" t="str">
        <f t="shared" si="23"/>
        <v>ccons_e</v>
      </c>
      <c r="AI32" s="3">
        <v>3</v>
      </c>
      <c r="AJ32" cm="1">
        <f t="array" ref="AJ32">INDEX($R32:$V32,1,AJ$3)*$E32</f>
        <v>3249.0906958414175</v>
      </c>
      <c r="AK32" t="str">
        <f t="shared" si="4"/>
        <v/>
      </c>
      <c r="AL32" t="str">
        <f t="shared" si="5"/>
        <v/>
      </c>
      <c r="AN32" s="3">
        <f t="shared" si="6"/>
        <v>0</v>
      </c>
      <c r="AO32" s="58" t="s">
        <v>481</v>
      </c>
      <c r="AP32" s="376" t="str">
        <f t="shared" si="24"/>
        <v>cmach_e</v>
      </c>
      <c r="AQ32" s="3">
        <v>3</v>
      </c>
      <c r="AR32" cm="1">
        <f t="array" ref="AR32">INDEX($R32:$V32,1,AR$3)*$E32</f>
        <v>0</v>
      </c>
      <c r="AS32" t="str">
        <f t="shared" si="7"/>
        <v/>
      </c>
      <c r="AT32" t="str">
        <f t="shared" si="8"/>
        <v/>
      </c>
      <c r="AV32" s="3">
        <f t="shared" si="9"/>
        <v>0</v>
      </c>
      <c r="AW32" s="58" t="s">
        <v>481</v>
      </c>
      <c r="AX32" s="376" t="str">
        <f t="shared" si="25"/>
        <v>cemch_e</v>
      </c>
      <c r="AY32" s="3">
        <v>3</v>
      </c>
      <c r="AZ32" cm="1">
        <f t="array" ref="AZ32">INDEX($R32:$V32,1,AZ$3)*$E32</f>
        <v>19635.760275236313</v>
      </c>
      <c r="BA32" t="str">
        <f t="shared" si="10"/>
        <v/>
      </c>
      <c r="BB32" t="str">
        <f t="shared" si="11"/>
        <v/>
      </c>
      <c r="BD32" s="3">
        <f t="shared" si="12"/>
        <v>0</v>
      </c>
      <c r="BE32" s="58" t="s">
        <v>481</v>
      </c>
      <c r="BF32" s="376" t="str">
        <f t="shared" si="26"/>
        <v>cmetp</v>
      </c>
      <c r="BG32" s="3">
        <v>3</v>
      </c>
      <c r="BH32" cm="1">
        <f t="array" ref="BH32">INDEX($R32:$V32,1,BH$3)*$E32</f>
        <v>8950.5077300890298</v>
      </c>
      <c r="BI32" t="str">
        <f t="shared" si="13"/>
        <v/>
      </c>
      <c r="BJ32" t="str">
        <f t="shared" si="14"/>
        <v/>
      </c>
      <c r="BL32" s="3">
        <f t="shared" si="15"/>
        <v>0</v>
      </c>
      <c r="BM32" s="58" t="s">
        <v>481</v>
      </c>
      <c r="BN32" s="376" t="str">
        <f t="shared" si="27"/>
        <v>cbsrv</v>
      </c>
      <c r="BO32" s="3">
        <v>3</v>
      </c>
      <c r="BP32" cm="1">
        <f t="array" ref="BP32">INDEX($R32:$V32,1,BP$3)*$E32</f>
        <v>5153.9728793419381</v>
      </c>
      <c r="BQ32" t="str">
        <f t="shared" si="16"/>
        <v/>
      </c>
      <c r="BR32" t="str">
        <f t="shared" si="17"/>
        <v/>
      </c>
    </row>
    <row r="33" spans="1:70" ht="15" x14ac:dyDescent="0.25">
      <c r="A33" s="74" t="s">
        <v>1295</v>
      </c>
      <c r="B33" s="1" t="s">
        <v>428</v>
      </c>
      <c r="C33" s="74" t="s">
        <v>21</v>
      </c>
      <c r="D33" s="1">
        <v>2017</v>
      </c>
      <c r="E33">
        <v>18494.665850167301</v>
      </c>
      <c r="G33" s="1"/>
      <c r="H33" s="74"/>
      <c r="I33" s="1"/>
      <c r="L33" s="1"/>
      <c r="M33" s="74"/>
      <c r="N33" s="1"/>
      <c r="R33" s="76">
        <f>R32</f>
        <v>8.7838589047483789E-2</v>
      </c>
      <c r="S33" s="76">
        <f t="shared" ref="S33:V33" si="44">S32</f>
        <v>0</v>
      </c>
      <c r="T33" s="76">
        <f t="shared" si="44"/>
        <v>0.5308492864354234</v>
      </c>
      <c r="U33" s="76">
        <f t="shared" si="44"/>
        <v>0.24197538445937869</v>
      </c>
      <c r="V33" s="76">
        <f t="shared" si="44"/>
        <v>0.13933674005771418</v>
      </c>
      <c r="AF33" s="3" t="str">
        <f t="shared" si="3"/>
        <v>XCOMELC</v>
      </c>
      <c r="AG33" s="58" t="s">
        <v>481</v>
      </c>
      <c r="AH33" s="376" t="str">
        <f t="shared" si="23"/>
        <v>ccons_e</v>
      </c>
      <c r="AI33" s="3">
        <v>3</v>
      </c>
      <c r="AJ33" cm="1">
        <f t="array" ref="AJ33">INDEX($R33:$V33,1,AJ$3)*$E33</f>
        <v>1624.545353183378</v>
      </c>
      <c r="AK33" t="str">
        <f t="shared" si="4"/>
        <v/>
      </c>
      <c r="AL33" t="str">
        <f t="shared" si="5"/>
        <v/>
      </c>
      <c r="AN33" s="3">
        <f t="shared" si="6"/>
        <v>0</v>
      </c>
      <c r="AO33" s="58" t="s">
        <v>481</v>
      </c>
      <c r="AP33" s="376" t="str">
        <f t="shared" si="24"/>
        <v>cmach_e</v>
      </c>
      <c r="AQ33" s="3">
        <v>3</v>
      </c>
      <c r="AR33" cm="1">
        <f t="array" ref="AR33">INDEX($R33:$V33,1,AR$3)*$E33</f>
        <v>0</v>
      </c>
      <c r="AS33" t="str">
        <f t="shared" si="7"/>
        <v/>
      </c>
      <c r="AT33" t="str">
        <f t="shared" si="8"/>
        <v/>
      </c>
      <c r="AV33" s="3">
        <f t="shared" si="9"/>
        <v>0</v>
      </c>
      <c r="AW33" s="58" t="s">
        <v>481</v>
      </c>
      <c r="AX33" s="376" t="str">
        <f t="shared" si="25"/>
        <v>cemch_e</v>
      </c>
      <c r="AY33" s="3">
        <v>3</v>
      </c>
      <c r="AZ33" cm="1">
        <f t="array" ref="AZ33">INDEX($R33:$V33,1,AZ$3)*$E33</f>
        <v>9817.8801694229041</v>
      </c>
      <c r="BA33" t="str">
        <f t="shared" si="10"/>
        <v/>
      </c>
      <c r="BB33" t="str">
        <f t="shared" si="11"/>
        <v/>
      </c>
      <c r="BD33" s="3">
        <f t="shared" si="12"/>
        <v>0</v>
      </c>
      <c r="BE33" s="58" t="s">
        <v>481</v>
      </c>
      <c r="BF33" s="376" t="str">
        <f t="shared" si="26"/>
        <v>cmetp</v>
      </c>
      <c r="BG33" s="3">
        <v>3</v>
      </c>
      <c r="BH33" cm="1">
        <f t="array" ref="BH33">INDEX($R33:$V33,1,BH$3)*$E33</f>
        <v>4475.2538795419741</v>
      </c>
      <c r="BI33" t="str">
        <f t="shared" si="13"/>
        <v/>
      </c>
      <c r="BJ33" t="str">
        <f t="shared" si="14"/>
        <v/>
      </c>
      <c r="BL33" s="3">
        <f t="shared" si="15"/>
        <v>0</v>
      </c>
      <c r="BM33" s="58" t="s">
        <v>481</v>
      </c>
      <c r="BN33" s="376" t="str">
        <f t="shared" si="27"/>
        <v>cbsrv</v>
      </c>
      <c r="BO33" s="3">
        <v>3</v>
      </c>
      <c r="BP33" cm="1">
        <f t="array" ref="BP33">INDEX($R33:$V33,1,BP$3)*$E33</f>
        <v>2576.9864480190445</v>
      </c>
      <c r="BQ33" t="str">
        <f t="shared" si="16"/>
        <v/>
      </c>
      <c r="BR33" t="str">
        <f t="shared" si="17"/>
        <v/>
      </c>
    </row>
    <row r="34" spans="1:70" ht="15" x14ac:dyDescent="0.25">
      <c r="A34" s="74" t="s">
        <v>1296</v>
      </c>
      <c r="B34" s="1" t="s">
        <v>428</v>
      </c>
      <c r="C34" s="74" t="s">
        <v>3</v>
      </c>
      <c r="D34" s="1">
        <v>2017</v>
      </c>
      <c r="E34">
        <v>8791.3381114607892</v>
      </c>
      <c r="G34" s="1"/>
      <c r="H34" s="74"/>
      <c r="I34" s="1"/>
      <c r="L34" s="1"/>
      <c r="M34" s="74"/>
      <c r="N34" s="1"/>
      <c r="R34" s="76">
        <f t="shared" ref="R34:R45" si="45">R33</f>
        <v>8.7838589047483789E-2</v>
      </c>
      <c r="S34" s="76">
        <f t="shared" ref="S34:S45" si="46">S33</f>
        <v>0</v>
      </c>
      <c r="T34" s="76">
        <f t="shared" ref="T34:T45" si="47">T33</f>
        <v>0.5308492864354234</v>
      </c>
      <c r="U34" s="76">
        <f t="shared" ref="U34:U45" si="48">U33</f>
        <v>0.24197538445937869</v>
      </c>
      <c r="V34" s="76">
        <f t="shared" ref="V34:V45" si="49">V33</f>
        <v>0.13933674005771418</v>
      </c>
      <c r="AF34" s="3" t="str">
        <f t="shared" si="3"/>
        <v>XICPELC</v>
      </c>
      <c r="AG34" s="58" t="s">
        <v>481</v>
      </c>
      <c r="AH34" s="376" t="str">
        <f t="shared" si="23"/>
        <v>ccons_e</v>
      </c>
      <c r="AI34" s="3">
        <v>3</v>
      </c>
      <c r="AJ34" cm="1">
        <f t="array" ref="AJ34">INDEX($R34:$V34,1,AJ$3)*$E34</f>
        <v>772.21873555008654</v>
      </c>
      <c r="AK34" t="str">
        <f t="shared" si="4"/>
        <v/>
      </c>
      <c r="AL34" t="str">
        <f t="shared" si="5"/>
        <v/>
      </c>
      <c r="AN34" s="3">
        <f t="shared" si="6"/>
        <v>0</v>
      </c>
      <c r="AO34" s="58" t="s">
        <v>481</v>
      </c>
      <c r="AP34" s="376" t="str">
        <f t="shared" si="24"/>
        <v>cmach_e</v>
      </c>
      <c r="AQ34" s="3">
        <v>3</v>
      </c>
      <c r="AR34" cm="1">
        <f t="array" ref="AR34">INDEX($R34:$V34,1,AR$3)*$E34</f>
        <v>0</v>
      </c>
      <c r="AS34" t="str">
        <f t="shared" si="7"/>
        <v/>
      </c>
      <c r="AT34" t="str">
        <f t="shared" si="8"/>
        <v/>
      </c>
      <c r="AV34" s="3">
        <f t="shared" si="9"/>
        <v>0</v>
      </c>
      <c r="AW34" s="58" t="s">
        <v>481</v>
      </c>
      <c r="AX34" s="376" t="str">
        <f t="shared" si="25"/>
        <v>cemch_e</v>
      </c>
      <c r="AY34" s="3">
        <v>3</v>
      </c>
      <c r="AZ34" cm="1">
        <f t="array" ref="AZ34">INDEX($R34:$V34,1,AZ$3)*$E34</f>
        <v>4666.8755632815028</v>
      </c>
      <c r="BA34" t="str">
        <f t="shared" si="10"/>
        <v/>
      </c>
      <c r="BB34" t="str">
        <f t="shared" si="11"/>
        <v/>
      </c>
      <c r="BD34" s="3">
        <f t="shared" si="12"/>
        <v>0</v>
      </c>
      <c r="BE34" s="58" t="s">
        <v>481</v>
      </c>
      <c r="BF34" s="376" t="str">
        <f t="shared" si="26"/>
        <v>cmetp</v>
      </c>
      <c r="BG34" s="3">
        <v>3</v>
      </c>
      <c r="BH34" cm="1">
        <f t="array" ref="BH34">INDEX($R34:$V34,1,BH$3)*$E34</f>
        <v>2127.2874194331125</v>
      </c>
      <c r="BI34" t="str">
        <f t="shared" si="13"/>
        <v/>
      </c>
      <c r="BJ34" t="str">
        <f t="shared" si="14"/>
        <v/>
      </c>
      <c r="BL34" s="3">
        <f t="shared" si="15"/>
        <v>0</v>
      </c>
      <c r="BM34" s="58" t="s">
        <v>481</v>
      </c>
      <c r="BN34" s="376" t="str">
        <f t="shared" si="27"/>
        <v>cbsrv</v>
      </c>
      <c r="BO34" s="3">
        <v>3</v>
      </c>
      <c r="BP34" cm="1">
        <f t="array" ref="BP34">INDEX($R34:$V34,1,BP$3)*$E34</f>
        <v>1224.9563931960879</v>
      </c>
      <c r="BQ34" t="str">
        <f t="shared" si="16"/>
        <v/>
      </c>
      <c r="BR34" t="str">
        <f t="shared" si="17"/>
        <v/>
      </c>
    </row>
    <row r="35" spans="1:70" ht="15" x14ac:dyDescent="0.25">
      <c r="A35" s="74" t="s">
        <v>1297</v>
      </c>
      <c r="B35" s="1" t="s">
        <v>428</v>
      </c>
      <c r="C35" s="74" t="s">
        <v>19</v>
      </c>
      <c r="D35" s="1">
        <v>2017</v>
      </c>
      <c r="E35">
        <v>8791.3381114607892</v>
      </c>
      <c r="G35" s="1"/>
      <c r="H35" s="74"/>
      <c r="I35" s="1"/>
      <c r="L35" s="1"/>
      <c r="M35" s="74"/>
      <c r="N35" s="1"/>
      <c r="R35" s="76">
        <f t="shared" si="45"/>
        <v>8.7838589047483789E-2</v>
      </c>
      <c r="S35" s="76">
        <f t="shared" si="46"/>
        <v>0</v>
      </c>
      <c r="T35" s="76">
        <f t="shared" si="47"/>
        <v>0.5308492864354234</v>
      </c>
      <c r="U35" s="76">
        <f t="shared" si="48"/>
        <v>0.24197538445937869</v>
      </c>
      <c r="V35" s="76">
        <f t="shared" si="49"/>
        <v>0.13933674005771418</v>
      </c>
      <c r="AF35" s="3" t="str">
        <f t="shared" si="3"/>
        <v>XIFAELC</v>
      </c>
      <c r="AG35" s="58" t="s">
        <v>481</v>
      </c>
      <c r="AH35" s="376" t="str">
        <f t="shared" si="23"/>
        <v>ccons_e</v>
      </c>
      <c r="AI35" s="3">
        <v>3</v>
      </c>
      <c r="AJ35" cm="1">
        <f t="array" ref="AJ35">INDEX($R35:$V35,1,AJ$3)*$E35</f>
        <v>772.21873555008654</v>
      </c>
      <c r="AK35" t="str">
        <f t="shared" si="4"/>
        <v/>
      </c>
      <c r="AL35" t="str">
        <f t="shared" si="5"/>
        <v/>
      </c>
      <c r="AN35" s="3">
        <f t="shared" si="6"/>
        <v>0</v>
      </c>
      <c r="AO35" s="58" t="s">
        <v>481</v>
      </c>
      <c r="AP35" s="376" t="str">
        <f t="shared" si="24"/>
        <v>cmach_e</v>
      </c>
      <c r="AQ35" s="3">
        <v>3</v>
      </c>
      <c r="AR35" cm="1">
        <f t="array" ref="AR35">INDEX($R35:$V35,1,AR$3)*$E35</f>
        <v>0</v>
      </c>
      <c r="AS35" t="str">
        <f t="shared" si="7"/>
        <v/>
      </c>
      <c r="AT35" t="str">
        <f t="shared" si="8"/>
        <v/>
      </c>
      <c r="AV35" s="3">
        <f t="shared" si="9"/>
        <v>0</v>
      </c>
      <c r="AW35" s="58" t="s">
        <v>481</v>
      </c>
      <c r="AX35" s="376" t="str">
        <f t="shared" si="25"/>
        <v>cemch_e</v>
      </c>
      <c r="AY35" s="3">
        <v>3</v>
      </c>
      <c r="AZ35" cm="1">
        <f t="array" ref="AZ35">INDEX($R35:$V35,1,AZ$3)*$E35</f>
        <v>4666.8755632815028</v>
      </c>
      <c r="BA35" t="str">
        <f t="shared" si="10"/>
        <v/>
      </c>
      <c r="BB35" t="str">
        <f t="shared" si="11"/>
        <v/>
      </c>
      <c r="BD35" s="3">
        <f t="shared" si="12"/>
        <v>0</v>
      </c>
      <c r="BE35" s="58" t="s">
        <v>481</v>
      </c>
      <c r="BF35" s="376" t="str">
        <f t="shared" si="26"/>
        <v>cmetp</v>
      </c>
      <c r="BG35" s="3">
        <v>3</v>
      </c>
      <c r="BH35" cm="1">
        <f t="array" ref="BH35">INDEX($R35:$V35,1,BH$3)*$E35</f>
        <v>2127.2874194331125</v>
      </c>
      <c r="BI35" t="str">
        <f t="shared" si="13"/>
        <v/>
      </c>
      <c r="BJ35" t="str">
        <f t="shared" si="14"/>
        <v/>
      </c>
      <c r="BL35" s="3">
        <f t="shared" si="15"/>
        <v>0</v>
      </c>
      <c r="BM35" s="58" t="s">
        <v>481</v>
      </c>
      <c r="BN35" s="376" t="str">
        <f t="shared" si="27"/>
        <v>cbsrv</v>
      </c>
      <c r="BO35" s="3">
        <v>3</v>
      </c>
      <c r="BP35" cm="1">
        <f t="array" ref="BP35">INDEX($R35:$V35,1,BP$3)*$E35</f>
        <v>1224.9563931960879</v>
      </c>
      <c r="BQ35" t="str">
        <f t="shared" si="16"/>
        <v/>
      </c>
      <c r="BR35" t="str">
        <f t="shared" si="17"/>
        <v/>
      </c>
    </row>
    <row r="36" spans="1:70" ht="15" x14ac:dyDescent="0.25">
      <c r="A36" s="74" t="s">
        <v>1298</v>
      </c>
      <c r="B36" s="1" t="s">
        <v>428</v>
      </c>
      <c r="C36" s="74" t="s">
        <v>5</v>
      </c>
      <c r="D36" s="1">
        <v>2017</v>
      </c>
      <c r="E36">
        <v>14124.4235169599</v>
      </c>
      <c r="G36" s="1"/>
      <c r="H36" s="74"/>
      <c r="I36" s="1"/>
      <c r="L36" s="1"/>
      <c r="M36" s="74"/>
      <c r="N36" s="1"/>
      <c r="R36" s="76">
        <f t="shared" si="45"/>
        <v>8.7838589047483789E-2</v>
      </c>
      <c r="S36" s="76">
        <f t="shared" si="46"/>
        <v>0</v>
      </c>
      <c r="T36" s="76">
        <f t="shared" si="47"/>
        <v>0.5308492864354234</v>
      </c>
      <c r="U36" s="76">
        <f t="shared" si="48"/>
        <v>0.24197538445937869</v>
      </c>
      <c r="V36" s="76">
        <f t="shared" si="49"/>
        <v>0.13933674005771418</v>
      </c>
      <c r="AF36" s="3" t="str">
        <f t="shared" si="3"/>
        <v>XIFBELC</v>
      </c>
      <c r="AG36" s="58" t="s">
        <v>481</v>
      </c>
      <c r="AH36" s="376" t="str">
        <f t="shared" si="23"/>
        <v>ccons_e</v>
      </c>
      <c r="AI36" s="3">
        <v>3</v>
      </c>
      <c r="AJ36" cm="1">
        <f t="array" ref="AJ36">INDEX($R36:$V36,1,AJ$3)*$E36</f>
        <v>1240.6694328388562</v>
      </c>
      <c r="AK36" t="str">
        <f t="shared" si="4"/>
        <v/>
      </c>
      <c r="AL36" t="str">
        <f t="shared" si="5"/>
        <v/>
      </c>
      <c r="AN36" s="3">
        <f t="shared" si="6"/>
        <v>0</v>
      </c>
      <c r="AO36" s="58" t="s">
        <v>481</v>
      </c>
      <c r="AP36" s="376" t="str">
        <f t="shared" si="24"/>
        <v>cmach_e</v>
      </c>
      <c r="AQ36" s="3">
        <v>3</v>
      </c>
      <c r="AR36" cm="1">
        <f t="array" ref="AR36">INDEX($R36:$V36,1,AR$3)*$E36</f>
        <v>0</v>
      </c>
      <c r="AS36" t="str">
        <f t="shared" si="7"/>
        <v/>
      </c>
      <c r="AT36" t="str">
        <f t="shared" si="8"/>
        <v/>
      </c>
      <c r="AV36" s="3">
        <f t="shared" si="9"/>
        <v>0</v>
      </c>
      <c r="AW36" s="58" t="s">
        <v>481</v>
      </c>
      <c r="AX36" s="376" t="str">
        <f t="shared" si="25"/>
        <v>cemch_e</v>
      </c>
      <c r="AY36" s="3">
        <v>3</v>
      </c>
      <c r="AZ36" cm="1">
        <f t="array" ref="AZ36">INDEX($R36:$V36,1,AZ$3)*$E36</f>
        <v>7497.9401452898765</v>
      </c>
      <c r="BA36" t="str">
        <f t="shared" si="10"/>
        <v/>
      </c>
      <c r="BB36" t="str">
        <f t="shared" si="11"/>
        <v/>
      </c>
      <c r="BD36" s="3">
        <f t="shared" si="12"/>
        <v>0</v>
      </c>
      <c r="BE36" s="58" t="s">
        <v>481</v>
      </c>
      <c r="BF36" s="376" t="str">
        <f t="shared" si="26"/>
        <v>cmetp</v>
      </c>
      <c r="BG36" s="3">
        <v>3</v>
      </c>
      <c r="BH36" cm="1">
        <f t="array" ref="BH36">INDEX($R36:$V36,1,BH$3)*$E36</f>
        <v>3417.7628107834612</v>
      </c>
      <c r="BI36" t="str">
        <f t="shared" si="13"/>
        <v/>
      </c>
      <c r="BJ36" t="str">
        <f t="shared" si="14"/>
        <v/>
      </c>
      <c r="BL36" s="3">
        <f t="shared" si="15"/>
        <v>0</v>
      </c>
      <c r="BM36" s="58" t="s">
        <v>481</v>
      </c>
      <c r="BN36" s="376" t="str">
        <f t="shared" si="27"/>
        <v>cbsrv</v>
      </c>
      <c r="BO36" s="3">
        <v>3</v>
      </c>
      <c r="BP36" cm="1">
        <f t="array" ref="BP36">INDEX($R36:$V36,1,BP$3)*$E36</f>
        <v>1968.0511280477067</v>
      </c>
      <c r="BQ36" t="str">
        <f t="shared" si="16"/>
        <v/>
      </c>
      <c r="BR36" t="str">
        <f t="shared" si="17"/>
        <v/>
      </c>
    </row>
    <row r="37" spans="1:70" ht="15" x14ac:dyDescent="0.25">
      <c r="A37" s="74" t="s">
        <v>1299</v>
      </c>
      <c r="B37" s="1" t="s">
        <v>428</v>
      </c>
      <c r="C37" s="74" t="s">
        <v>18</v>
      </c>
      <c r="D37" s="1">
        <v>2017</v>
      </c>
      <c r="E37">
        <v>8791.3381114607892</v>
      </c>
      <c r="R37" s="76">
        <f t="shared" si="45"/>
        <v>8.7838589047483789E-2</v>
      </c>
      <c r="S37" s="76">
        <f t="shared" si="46"/>
        <v>0</v>
      </c>
      <c r="T37" s="76">
        <f t="shared" si="47"/>
        <v>0.5308492864354234</v>
      </c>
      <c r="U37" s="76">
        <f t="shared" si="48"/>
        <v>0.24197538445937869</v>
      </c>
      <c r="V37" s="76">
        <f t="shared" si="49"/>
        <v>0.13933674005771418</v>
      </c>
      <c r="AF37" s="3" t="str">
        <f t="shared" si="3"/>
        <v>XIISELC</v>
      </c>
      <c r="AG37" s="58" t="s">
        <v>481</v>
      </c>
      <c r="AH37" s="376" t="str">
        <f t="shared" si="23"/>
        <v>ccons_e</v>
      </c>
      <c r="AI37" s="3">
        <v>3</v>
      </c>
      <c r="AJ37" cm="1">
        <f t="array" ref="AJ37">INDEX($R37:$V37,1,AJ$3)*$E37</f>
        <v>772.21873555008654</v>
      </c>
      <c r="AK37" t="str">
        <f t="shared" si="4"/>
        <v/>
      </c>
      <c r="AL37" t="str">
        <f t="shared" si="5"/>
        <v/>
      </c>
      <c r="AN37" s="3">
        <f t="shared" si="6"/>
        <v>0</v>
      </c>
      <c r="AO37" s="58" t="s">
        <v>481</v>
      </c>
      <c r="AP37" s="376" t="str">
        <f t="shared" si="24"/>
        <v>cmach_e</v>
      </c>
      <c r="AQ37" s="3">
        <v>3</v>
      </c>
      <c r="AR37" cm="1">
        <f t="array" ref="AR37">INDEX($R37:$V37,1,AR$3)*$E37</f>
        <v>0</v>
      </c>
      <c r="AS37" t="str">
        <f t="shared" si="7"/>
        <v/>
      </c>
      <c r="AT37" t="str">
        <f t="shared" si="8"/>
        <v/>
      </c>
      <c r="AV37" s="3">
        <f t="shared" si="9"/>
        <v>0</v>
      </c>
      <c r="AW37" s="58" t="s">
        <v>481</v>
      </c>
      <c r="AX37" s="376" t="str">
        <f t="shared" si="25"/>
        <v>cemch_e</v>
      </c>
      <c r="AY37" s="3">
        <v>3</v>
      </c>
      <c r="AZ37" cm="1">
        <f t="array" ref="AZ37">INDEX($R37:$V37,1,AZ$3)*$E37</f>
        <v>4666.8755632815028</v>
      </c>
      <c r="BA37" t="str">
        <f t="shared" si="10"/>
        <v/>
      </c>
      <c r="BB37" t="str">
        <f t="shared" si="11"/>
        <v/>
      </c>
      <c r="BD37" s="3">
        <f t="shared" si="12"/>
        <v>0</v>
      </c>
      <c r="BE37" s="58" t="s">
        <v>481</v>
      </c>
      <c r="BF37" s="376" t="str">
        <f t="shared" si="26"/>
        <v>cmetp</v>
      </c>
      <c r="BG37" s="3">
        <v>3</v>
      </c>
      <c r="BH37" cm="1">
        <f t="array" ref="BH37">INDEX($R37:$V37,1,BH$3)*$E37</f>
        <v>2127.2874194331125</v>
      </c>
      <c r="BI37" t="str">
        <f t="shared" si="13"/>
        <v/>
      </c>
      <c r="BJ37" t="str">
        <f t="shared" si="14"/>
        <v/>
      </c>
      <c r="BL37" s="3">
        <f t="shared" si="15"/>
        <v>0</v>
      </c>
      <c r="BM37" s="58" t="s">
        <v>481</v>
      </c>
      <c r="BN37" s="376" t="str">
        <f t="shared" si="27"/>
        <v>cbsrv</v>
      </c>
      <c r="BO37" s="3">
        <v>3</v>
      </c>
      <c r="BP37" cm="1">
        <f t="array" ref="BP37">INDEX($R37:$V37,1,BP$3)*$E37</f>
        <v>1224.9563931960879</v>
      </c>
      <c r="BQ37" t="str">
        <f t="shared" si="16"/>
        <v/>
      </c>
      <c r="BR37" t="str">
        <f t="shared" si="17"/>
        <v/>
      </c>
    </row>
    <row r="38" spans="1:70" ht="15" x14ac:dyDescent="0.25">
      <c r="A38" s="74" t="s">
        <v>1300</v>
      </c>
      <c r="B38" s="1" t="s">
        <v>428</v>
      </c>
      <c r="C38" s="74" t="s">
        <v>4</v>
      </c>
      <c r="D38" s="1">
        <v>2017</v>
      </c>
      <c r="E38">
        <v>8791.3381114607892</v>
      </c>
      <c r="R38" s="76">
        <f t="shared" si="45"/>
        <v>8.7838589047483789E-2</v>
      </c>
      <c r="S38" s="76">
        <f t="shared" si="46"/>
        <v>0</v>
      </c>
      <c r="T38" s="76">
        <f t="shared" si="47"/>
        <v>0.5308492864354234</v>
      </c>
      <c r="U38" s="76">
        <f t="shared" si="48"/>
        <v>0.24197538445937869</v>
      </c>
      <c r="V38" s="76">
        <f t="shared" si="49"/>
        <v>0.13933674005771418</v>
      </c>
      <c r="AF38" s="3" t="str">
        <f t="shared" si="3"/>
        <v>XIMIELC</v>
      </c>
      <c r="AG38" s="58" t="s">
        <v>481</v>
      </c>
      <c r="AH38" s="376" t="str">
        <f t="shared" si="23"/>
        <v>ccons_e</v>
      </c>
      <c r="AI38" s="3">
        <v>3</v>
      </c>
      <c r="AJ38" cm="1">
        <f t="array" ref="AJ38">INDEX($R38:$V38,1,AJ$3)*$E38</f>
        <v>772.21873555008654</v>
      </c>
      <c r="AK38" t="str">
        <f t="shared" si="4"/>
        <v/>
      </c>
      <c r="AL38" t="str">
        <f t="shared" si="5"/>
        <v/>
      </c>
      <c r="AN38" s="3">
        <f t="shared" si="6"/>
        <v>0</v>
      </c>
      <c r="AO38" s="58" t="s">
        <v>481</v>
      </c>
      <c r="AP38" s="376" t="str">
        <f t="shared" si="24"/>
        <v>cmach_e</v>
      </c>
      <c r="AQ38" s="3">
        <v>3</v>
      </c>
      <c r="AR38" cm="1">
        <f t="array" ref="AR38">INDEX($R38:$V38,1,AR$3)*$E38</f>
        <v>0</v>
      </c>
      <c r="AS38" t="str">
        <f t="shared" si="7"/>
        <v/>
      </c>
      <c r="AT38" t="str">
        <f t="shared" si="8"/>
        <v/>
      </c>
      <c r="AV38" s="3">
        <f t="shared" si="9"/>
        <v>0</v>
      </c>
      <c r="AW38" s="58" t="s">
        <v>481</v>
      </c>
      <c r="AX38" s="376" t="str">
        <f t="shared" si="25"/>
        <v>cemch_e</v>
      </c>
      <c r="AY38" s="3">
        <v>3</v>
      </c>
      <c r="AZ38" cm="1">
        <f t="array" ref="AZ38">INDEX($R38:$V38,1,AZ$3)*$E38</f>
        <v>4666.8755632815028</v>
      </c>
      <c r="BA38" t="str">
        <f t="shared" si="10"/>
        <v/>
      </c>
      <c r="BB38" t="str">
        <f t="shared" si="11"/>
        <v/>
      </c>
      <c r="BD38" s="3">
        <f t="shared" si="12"/>
        <v>0</v>
      </c>
      <c r="BE38" s="58" t="s">
        <v>481</v>
      </c>
      <c r="BF38" s="376" t="str">
        <f t="shared" si="26"/>
        <v>cmetp</v>
      </c>
      <c r="BG38" s="3">
        <v>3</v>
      </c>
      <c r="BH38" cm="1">
        <f t="array" ref="BH38">INDEX($R38:$V38,1,BH$3)*$E38</f>
        <v>2127.2874194331125</v>
      </c>
      <c r="BI38" t="str">
        <f t="shared" si="13"/>
        <v/>
      </c>
      <c r="BJ38" t="str">
        <f t="shared" si="14"/>
        <v/>
      </c>
      <c r="BL38" s="3">
        <f t="shared" si="15"/>
        <v>0</v>
      </c>
      <c r="BM38" s="58" t="s">
        <v>481</v>
      </c>
      <c r="BN38" s="376" t="str">
        <f t="shared" si="27"/>
        <v>cbsrv</v>
      </c>
      <c r="BO38" s="3">
        <v>3</v>
      </c>
      <c r="BP38" cm="1">
        <f t="array" ref="BP38">INDEX($R38:$V38,1,BP$3)*$E38</f>
        <v>1224.9563931960879</v>
      </c>
      <c r="BQ38" t="str">
        <f t="shared" si="16"/>
        <v/>
      </c>
      <c r="BR38" t="str">
        <f t="shared" si="17"/>
        <v/>
      </c>
    </row>
    <row r="39" spans="1:70" ht="15" x14ac:dyDescent="0.25">
      <c r="A39" s="74" t="s">
        <v>1301</v>
      </c>
      <c r="B39" s="1" t="s">
        <v>428</v>
      </c>
      <c r="C39" s="74" t="s">
        <v>17</v>
      </c>
      <c r="D39" s="1">
        <v>2017</v>
      </c>
      <c r="E39">
        <v>8791.3381114607892</v>
      </c>
      <c r="R39" s="76">
        <f t="shared" si="45"/>
        <v>8.7838589047483789E-2</v>
      </c>
      <c r="S39" s="76">
        <f t="shared" si="46"/>
        <v>0</v>
      </c>
      <c r="T39" s="76">
        <f t="shared" si="47"/>
        <v>0.5308492864354234</v>
      </c>
      <c r="U39" s="76">
        <f t="shared" si="48"/>
        <v>0.24197538445937869</v>
      </c>
      <c r="V39" s="76">
        <f t="shared" si="49"/>
        <v>0.13933674005771418</v>
      </c>
      <c r="AF39" s="3" t="str">
        <f t="shared" si="3"/>
        <v>XINFELC</v>
      </c>
      <c r="AG39" s="58" t="s">
        <v>481</v>
      </c>
      <c r="AH39" s="376" t="str">
        <f t="shared" si="23"/>
        <v>ccons_e</v>
      </c>
      <c r="AI39" s="3">
        <v>3</v>
      </c>
      <c r="AJ39" cm="1">
        <f t="array" ref="AJ39">INDEX($R39:$V39,1,AJ$3)*$E39</f>
        <v>772.21873555008654</v>
      </c>
      <c r="AK39" t="str">
        <f t="shared" si="4"/>
        <v/>
      </c>
      <c r="AL39" t="str">
        <f t="shared" si="5"/>
        <v/>
      </c>
      <c r="AN39" s="3">
        <f t="shared" si="6"/>
        <v>0</v>
      </c>
      <c r="AO39" s="58" t="s">
        <v>481</v>
      </c>
      <c r="AP39" s="376" t="str">
        <f t="shared" si="24"/>
        <v>cmach_e</v>
      </c>
      <c r="AQ39" s="3">
        <v>3</v>
      </c>
      <c r="AR39" cm="1">
        <f t="array" ref="AR39">INDEX($R39:$V39,1,AR$3)*$E39</f>
        <v>0</v>
      </c>
      <c r="AS39" t="str">
        <f t="shared" si="7"/>
        <v/>
      </c>
      <c r="AT39" t="str">
        <f t="shared" si="8"/>
        <v/>
      </c>
      <c r="AV39" s="3">
        <f t="shared" si="9"/>
        <v>0</v>
      </c>
      <c r="AW39" s="58" t="s">
        <v>481</v>
      </c>
      <c r="AX39" s="376" t="str">
        <f t="shared" si="25"/>
        <v>cemch_e</v>
      </c>
      <c r="AY39" s="3">
        <v>3</v>
      </c>
      <c r="AZ39" cm="1">
        <f t="array" ref="AZ39">INDEX($R39:$V39,1,AZ$3)*$E39</f>
        <v>4666.8755632815028</v>
      </c>
      <c r="BA39" t="str">
        <f t="shared" si="10"/>
        <v/>
      </c>
      <c r="BB39" t="str">
        <f t="shared" si="11"/>
        <v/>
      </c>
      <c r="BD39" s="3">
        <f t="shared" si="12"/>
        <v>0</v>
      </c>
      <c r="BE39" s="58" t="s">
        <v>481</v>
      </c>
      <c r="BF39" s="376" t="str">
        <f t="shared" si="26"/>
        <v>cmetp</v>
      </c>
      <c r="BG39" s="3">
        <v>3</v>
      </c>
      <c r="BH39" cm="1">
        <f t="array" ref="BH39">INDEX($R39:$V39,1,BH$3)*$E39</f>
        <v>2127.2874194331125</v>
      </c>
      <c r="BI39" t="str">
        <f t="shared" si="13"/>
        <v/>
      </c>
      <c r="BJ39" t="str">
        <f t="shared" si="14"/>
        <v/>
      </c>
      <c r="BL39" s="3">
        <f t="shared" si="15"/>
        <v>0</v>
      </c>
      <c r="BM39" s="58" t="s">
        <v>481</v>
      </c>
      <c r="BN39" s="376" t="str">
        <f t="shared" si="27"/>
        <v>cbsrv</v>
      </c>
      <c r="BO39" s="3">
        <v>3</v>
      </c>
      <c r="BP39" cm="1">
        <f t="array" ref="BP39">INDEX($R39:$V39,1,BP$3)*$E39</f>
        <v>1224.9563931960879</v>
      </c>
      <c r="BQ39" t="str">
        <f t="shared" si="16"/>
        <v/>
      </c>
      <c r="BR39" t="str">
        <f t="shared" si="17"/>
        <v/>
      </c>
    </row>
    <row r="40" spans="1:70" ht="15" x14ac:dyDescent="0.25">
      <c r="A40" s="74" t="s">
        <v>1302</v>
      </c>
      <c r="B40" s="1" t="s">
        <v>428</v>
      </c>
      <c r="C40" s="74" t="s">
        <v>16</v>
      </c>
      <c r="D40" s="1">
        <v>2017</v>
      </c>
      <c r="E40">
        <v>8791.3381114607892</v>
      </c>
      <c r="R40" s="76">
        <f t="shared" si="45"/>
        <v>8.7838589047483789E-2</v>
      </c>
      <c r="S40" s="76">
        <f t="shared" si="46"/>
        <v>0</v>
      </c>
      <c r="T40" s="76">
        <f t="shared" si="47"/>
        <v>0.5308492864354234</v>
      </c>
      <c r="U40" s="76">
        <f t="shared" si="48"/>
        <v>0.24197538445937869</v>
      </c>
      <c r="V40" s="76">
        <f t="shared" si="49"/>
        <v>0.13933674005771418</v>
      </c>
      <c r="AF40" s="3" t="str">
        <f t="shared" si="3"/>
        <v>XINMELC</v>
      </c>
      <c r="AG40" s="58" t="s">
        <v>481</v>
      </c>
      <c r="AH40" s="376" t="str">
        <f t="shared" si="23"/>
        <v>ccons_e</v>
      </c>
      <c r="AI40" s="3">
        <v>3</v>
      </c>
      <c r="AJ40" cm="1">
        <f t="array" ref="AJ40">INDEX($R40:$V40,1,AJ$3)*$E40</f>
        <v>772.21873555008654</v>
      </c>
      <c r="AK40" t="str">
        <f t="shared" si="4"/>
        <v/>
      </c>
      <c r="AL40" t="str">
        <f t="shared" si="5"/>
        <v/>
      </c>
      <c r="AN40" s="3">
        <f t="shared" si="6"/>
        <v>0</v>
      </c>
      <c r="AO40" s="58" t="s">
        <v>481</v>
      </c>
      <c r="AP40" s="376" t="str">
        <f t="shared" si="24"/>
        <v>cmach_e</v>
      </c>
      <c r="AQ40" s="3">
        <v>3</v>
      </c>
      <c r="AR40" cm="1">
        <f t="array" ref="AR40">INDEX($R40:$V40,1,AR$3)*$E40</f>
        <v>0</v>
      </c>
      <c r="AS40" t="str">
        <f t="shared" si="7"/>
        <v/>
      </c>
      <c r="AT40" t="str">
        <f t="shared" si="8"/>
        <v/>
      </c>
      <c r="AV40" s="3">
        <f t="shared" si="9"/>
        <v>0</v>
      </c>
      <c r="AW40" s="58" t="s">
        <v>481</v>
      </c>
      <c r="AX40" s="376" t="str">
        <f t="shared" si="25"/>
        <v>cemch_e</v>
      </c>
      <c r="AY40" s="3">
        <v>3</v>
      </c>
      <c r="AZ40" cm="1">
        <f t="array" ref="AZ40">INDEX($R40:$V40,1,AZ$3)*$E40</f>
        <v>4666.8755632815028</v>
      </c>
      <c r="BA40" t="str">
        <f t="shared" si="10"/>
        <v/>
      </c>
      <c r="BB40" t="str">
        <f t="shared" si="11"/>
        <v/>
      </c>
      <c r="BD40" s="3">
        <f t="shared" si="12"/>
        <v>0</v>
      </c>
      <c r="BE40" s="58" t="s">
        <v>481</v>
      </c>
      <c r="BF40" s="376" t="str">
        <f t="shared" si="26"/>
        <v>cmetp</v>
      </c>
      <c r="BG40" s="3">
        <v>3</v>
      </c>
      <c r="BH40" cm="1">
        <f t="array" ref="BH40">INDEX($R40:$V40,1,BH$3)*$E40</f>
        <v>2127.2874194331125</v>
      </c>
      <c r="BI40" t="str">
        <f t="shared" si="13"/>
        <v/>
      </c>
      <c r="BJ40" t="str">
        <f t="shared" si="14"/>
        <v/>
      </c>
      <c r="BL40" s="3">
        <f t="shared" si="15"/>
        <v>0</v>
      </c>
      <c r="BM40" s="58" t="s">
        <v>481</v>
      </c>
      <c r="BN40" s="376" t="str">
        <f t="shared" si="27"/>
        <v>cbsrv</v>
      </c>
      <c r="BO40" s="3">
        <v>3</v>
      </c>
      <c r="BP40" cm="1">
        <f t="array" ref="BP40">INDEX($R40:$V40,1,BP$3)*$E40</f>
        <v>1224.9563931960879</v>
      </c>
      <c r="BQ40" t="str">
        <f t="shared" si="16"/>
        <v/>
      </c>
      <c r="BR40" t="str">
        <f t="shared" si="17"/>
        <v/>
      </c>
    </row>
    <row r="41" spans="1:70" ht="15" x14ac:dyDescent="0.25">
      <c r="A41" s="74" t="s">
        <v>1303</v>
      </c>
      <c r="B41" s="1" t="s">
        <v>428</v>
      </c>
      <c r="C41" s="74" t="s">
        <v>15</v>
      </c>
      <c r="D41" s="1">
        <v>2017</v>
      </c>
      <c r="E41">
        <v>14124.4235169599</v>
      </c>
      <c r="R41" s="76">
        <f t="shared" si="45"/>
        <v>8.7838589047483789E-2</v>
      </c>
      <c r="S41" s="76">
        <f t="shared" si="46"/>
        <v>0</v>
      </c>
      <c r="T41" s="76">
        <f t="shared" si="47"/>
        <v>0.5308492864354234</v>
      </c>
      <c r="U41" s="76">
        <f t="shared" si="48"/>
        <v>0.24197538445937869</v>
      </c>
      <c r="V41" s="76">
        <f t="shared" si="49"/>
        <v>0.13933674005771418</v>
      </c>
      <c r="AF41" s="3" t="str">
        <f t="shared" si="3"/>
        <v>XIOTELC</v>
      </c>
      <c r="AG41" s="58" t="s">
        <v>481</v>
      </c>
      <c r="AH41" s="376" t="str">
        <f t="shared" si="23"/>
        <v>ccons_e</v>
      </c>
      <c r="AI41" s="3">
        <v>3</v>
      </c>
      <c r="AJ41" cm="1">
        <f t="array" ref="AJ41">INDEX($R41:$V41,1,AJ$3)*$E41</f>
        <v>1240.6694328388562</v>
      </c>
      <c r="AK41" t="str">
        <f t="shared" si="4"/>
        <v/>
      </c>
      <c r="AL41" t="str">
        <f t="shared" si="5"/>
        <v/>
      </c>
      <c r="AN41" s="3">
        <f t="shared" si="6"/>
        <v>0</v>
      </c>
      <c r="AO41" s="58" t="s">
        <v>481</v>
      </c>
      <c r="AP41" s="376" t="str">
        <f t="shared" si="24"/>
        <v>cmach_e</v>
      </c>
      <c r="AQ41" s="3">
        <v>3</v>
      </c>
      <c r="AR41" cm="1">
        <f t="array" ref="AR41">INDEX($R41:$V41,1,AR$3)*$E41</f>
        <v>0</v>
      </c>
      <c r="AS41" t="str">
        <f t="shared" si="7"/>
        <v/>
      </c>
      <c r="AT41" t="str">
        <f t="shared" si="8"/>
        <v/>
      </c>
      <c r="AV41" s="3">
        <f t="shared" si="9"/>
        <v>0</v>
      </c>
      <c r="AW41" s="58" t="s">
        <v>481</v>
      </c>
      <c r="AX41" s="376" t="str">
        <f t="shared" si="25"/>
        <v>cemch_e</v>
      </c>
      <c r="AY41" s="3">
        <v>3</v>
      </c>
      <c r="AZ41" cm="1">
        <f t="array" ref="AZ41">INDEX($R41:$V41,1,AZ$3)*$E41</f>
        <v>7497.9401452898765</v>
      </c>
      <c r="BA41" t="str">
        <f t="shared" si="10"/>
        <v/>
      </c>
      <c r="BB41" t="str">
        <f t="shared" si="11"/>
        <v/>
      </c>
      <c r="BD41" s="3">
        <f t="shared" si="12"/>
        <v>0</v>
      </c>
      <c r="BE41" s="58" t="s">
        <v>481</v>
      </c>
      <c r="BF41" s="376" t="str">
        <f t="shared" si="26"/>
        <v>cmetp</v>
      </c>
      <c r="BG41" s="3">
        <v>3</v>
      </c>
      <c r="BH41" cm="1">
        <f t="array" ref="BH41">INDEX($R41:$V41,1,BH$3)*$E41</f>
        <v>3417.7628107834612</v>
      </c>
      <c r="BI41" t="str">
        <f t="shared" si="13"/>
        <v/>
      </c>
      <c r="BJ41" t="str">
        <f t="shared" si="14"/>
        <v/>
      </c>
      <c r="BL41" s="3">
        <f t="shared" si="15"/>
        <v>0</v>
      </c>
      <c r="BM41" s="58" t="s">
        <v>481</v>
      </c>
      <c r="BN41" s="376" t="str">
        <f t="shared" si="27"/>
        <v>cbsrv</v>
      </c>
      <c r="BO41" s="3">
        <v>3</v>
      </c>
      <c r="BP41" cm="1">
        <f t="array" ref="BP41">INDEX($R41:$V41,1,BP$3)*$E41</f>
        <v>1968.0511280477067</v>
      </c>
      <c r="BQ41" t="str">
        <f t="shared" si="16"/>
        <v/>
      </c>
      <c r="BR41" t="str">
        <f t="shared" si="17"/>
        <v/>
      </c>
    </row>
    <row r="42" spans="1:70" ht="15" x14ac:dyDescent="0.25">
      <c r="A42" s="74" t="s">
        <v>1304</v>
      </c>
      <c r="B42" s="1" t="s">
        <v>428</v>
      </c>
      <c r="C42" s="74" t="s">
        <v>14</v>
      </c>
      <c r="D42" s="1">
        <v>2017</v>
      </c>
      <c r="E42">
        <v>14124.4235169599</v>
      </c>
      <c r="R42" s="76">
        <f t="shared" si="45"/>
        <v>8.7838589047483789E-2</v>
      </c>
      <c r="S42" s="76">
        <f t="shared" si="46"/>
        <v>0</v>
      </c>
      <c r="T42" s="76">
        <f t="shared" si="47"/>
        <v>0.5308492864354234</v>
      </c>
      <c r="U42" s="76">
        <f t="shared" si="48"/>
        <v>0.24197538445937869</v>
      </c>
      <c r="V42" s="76">
        <f t="shared" si="49"/>
        <v>0.13933674005771418</v>
      </c>
      <c r="AF42" s="3" t="str">
        <f t="shared" si="3"/>
        <v>XIPPELC</v>
      </c>
      <c r="AG42" s="58" t="s">
        <v>481</v>
      </c>
      <c r="AH42" s="376" t="str">
        <f t="shared" si="23"/>
        <v>ccons_e</v>
      </c>
      <c r="AI42" s="3">
        <v>3</v>
      </c>
      <c r="AJ42" cm="1">
        <f t="array" ref="AJ42">INDEX($R42:$V42,1,AJ$3)*$E42</f>
        <v>1240.6694328388562</v>
      </c>
      <c r="AK42" t="str">
        <f t="shared" si="4"/>
        <v/>
      </c>
      <c r="AL42" t="str">
        <f t="shared" si="5"/>
        <v/>
      </c>
      <c r="AN42" s="3">
        <f t="shared" si="6"/>
        <v>0</v>
      </c>
      <c r="AO42" s="58" t="s">
        <v>481</v>
      </c>
      <c r="AP42" s="376" t="str">
        <f t="shared" si="24"/>
        <v>cmach_e</v>
      </c>
      <c r="AQ42" s="3">
        <v>3</v>
      </c>
      <c r="AR42" cm="1">
        <f t="array" ref="AR42">INDEX($R42:$V42,1,AR$3)*$E42</f>
        <v>0</v>
      </c>
      <c r="AS42" t="str">
        <f t="shared" si="7"/>
        <v/>
      </c>
      <c r="AT42" t="str">
        <f t="shared" si="8"/>
        <v/>
      </c>
      <c r="AV42" s="3">
        <f t="shared" si="9"/>
        <v>0</v>
      </c>
      <c r="AW42" s="58" t="s">
        <v>481</v>
      </c>
      <c r="AX42" s="376" t="str">
        <f t="shared" si="25"/>
        <v>cemch_e</v>
      </c>
      <c r="AY42" s="3">
        <v>3</v>
      </c>
      <c r="AZ42" cm="1">
        <f t="array" ref="AZ42">INDEX($R42:$V42,1,AZ$3)*$E42</f>
        <v>7497.9401452898765</v>
      </c>
      <c r="BA42" t="str">
        <f t="shared" si="10"/>
        <v/>
      </c>
      <c r="BB42" t="str">
        <f t="shared" si="11"/>
        <v/>
      </c>
      <c r="BD42" s="3">
        <f t="shared" si="12"/>
        <v>0</v>
      </c>
      <c r="BE42" s="58" t="s">
        <v>481</v>
      </c>
      <c r="BF42" s="376" t="str">
        <f t="shared" si="26"/>
        <v>cmetp</v>
      </c>
      <c r="BG42" s="3">
        <v>3</v>
      </c>
      <c r="BH42" cm="1">
        <f t="array" ref="BH42">INDEX($R42:$V42,1,BH$3)*$E42</f>
        <v>3417.7628107834612</v>
      </c>
      <c r="BI42" t="str">
        <f t="shared" si="13"/>
        <v/>
      </c>
      <c r="BJ42" t="str">
        <f t="shared" si="14"/>
        <v/>
      </c>
      <c r="BL42" s="3">
        <f t="shared" si="15"/>
        <v>0</v>
      </c>
      <c r="BM42" s="58" t="s">
        <v>481</v>
      </c>
      <c r="BN42" s="376" t="str">
        <f t="shared" si="27"/>
        <v>cbsrv</v>
      </c>
      <c r="BO42" s="3">
        <v>3</v>
      </c>
      <c r="BP42" cm="1">
        <f t="array" ref="BP42">INDEX($R42:$V42,1,BP$3)*$E42</f>
        <v>1968.0511280477067</v>
      </c>
      <c r="BQ42" t="str">
        <f t="shared" si="16"/>
        <v/>
      </c>
      <c r="BR42" t="str">
        <f t="shared" si="17"/>
        <v/>
      </c>
    </row>
    <row r="43" spans="1:70" ht="15" x14ac:dyDescent="0.25">
      <c r="A43" s="74" t="s">
        <v>1305</v>
      </c>
      <c r="B43" s="1" t="s">
        <v>428</v>
      </c>
      <c r="C43" s="74" t="s">
        <v>13</v>
      </c>
      <c r="D43" s="1">
        <v>2017</v>
      </c>
      <c r="E43">
        <v>36989.331580508697</v>
      </c>
      <c r="R43" s="76">
        <f t="shared" si="45"/>
        <v>8.7838589047483789E-2</v>
      </c>
      <c r="S43" s="76">
        <f t="shared" si="46"/>
        <v>0</v>
      </c>
      <c r="T43" s="76">
        <f t="shared" si="47"/>
        <v>0.5308492864354234</v>
      </c>
      <c r="U43" s="76">
        <f t="shared" si="48"/>
        <v>0.24197538445937869</v>
      </c>
      <c r="V43" s="76">
        <f t="shared" si="49"/>
        <v>0.13933674005771418</v>
      </c>
      <c r="AF43" s="3" t="str">
        <f t="shared" si="3"/>
        <v>XRESELC</v>
      </c>
      <c r="AG43" s="58" t="s">
        <v>481</v>
      </c>
      <c r="AH43" s="376" t="str">
        <f t="shared" si="23"/>
        <v>ccons_e</v>
      </c>
      <c r="AI43" s="3">
        <v>3</v>
      </c>
      <c r="AJ43" cm="1">
        <f t="array" ref="AJ43">INDEX($R43:$V43,1,AJ$3)*$E43</f>
        <v>3249.0906958414175</v>
      </c>
      <c r="AK43" t="str">
        <f t="shared" si="4"/>
        <v/>
      </c>
      <c r="AL43" t="str">
        <f t="shared" si="5"/>
        <v/>
      </c>
      <c r="AN43" s="3">
        <f t="shared" si="6"/>
        <v>0</v>
      </c>
      <c r="AO43" s="58" t="s">
        <v>481</v>
      </c>
      <c r="AP43" s="376" t="str">
        <f t="shared" si="24"/>
        <v>cmach_e</v>
      </c>
      <c r="AQ43" s="3">
        <v>3</v>
      </c>
      <c r="AR43" cm="1">
        <f t="array" ref="AR43">INDEX($R43:$V43,1,AR$3)*$E43</f>
        <v>0</v>
      </c>
      <c r="AS43" t="str">
        <f t="shared" si="7"/>
        <v/>
      </c>
      <c r="AT43" t="str">
        <f t="shared" si="8"/>
        <v/>
      </c>
      <c r="AV43" s="3">
        <f t="shared" si="9"/>
        <v>0</v>
      </c>
      <c r="AW43" s="58" t="s">
        <v>481</v>
      </c>
      <c r="AX43" s="376" t="str">
        <f t="shared" si="25"/>
        <v>cemch_e</v>
      </c>
      <c r="AY43" s="3">
        <v>3</v>
      </c>
      <c r="AZ43" cm="1">
        <f t="array" ref="AZ43">INDEX($R43:$V43,1,AZ$3)*$E43</f>
        <v>19635.760275236313</v>
      </c>
      <c r="BA43" t="str">
        <f t="shared" si="10"/>
        <v/>
      </c>
      <c r="BB43" t="str">
        <f t="shared" si="11"/>
        <v/>
      </c>
      <c r="BD43" s="3">
        <f t="shared" si="12"/>
        <v>0</v>
      </c>
      <c r="BE43" s="58" t="s">
        <v>481</v>
      </c>
      <c r="BF43" s="376" t="str">
        <f t="shared" si="26"/>
        <v>cmetp</v>
      </c>
      <c r="BG43" s="3">
        <v>3</v>
      </c>
      <c r="BH43" cm="1">
        <f t="array" ref="BH43">INDEX($R43:$V43,1,BH$3)*$E43</f>
        <v>8950.5077300890298</v>
      </c>
      <c r="BI43" t="str">
        <f t="shared" si="13"/>
        <v/>
      </c>
      <c r="BJ43" t="str">
        <f t="shared" si="14"/>
        <v/>
      </c>
      <c r="BL43" s="3">
        <f t="shared" si="15"/>
        <v>0</v>
      </c>
      <c r="BM43" s="58" t="s">
        <v>481</v>
      </c>
      <c r="BN43" s="376" t="str">
        <f t="shared" si="27"/>
        <v>cbsrv</v>
      </c>
      <c r="BO43" s="3">
        <v>3</v>
      </c>
      <c r="BP43" cm="1">
        <f t="array" ref="BP43">INDEX($R43:$V43,1,BP$3)*$E43</f>
        <v>5153.9728793419381</v>
      </c>
      <c r="BQ43" t="str">
        <f t="shared" si="16"/>
        <v/>
      </c>
      <c r="BR43" t="str">
        <f t="shared" si="17"/>
        <v/>
      </c>
    </row>
    <row r="44" spans="1:70" ht="15" x14ac:dyDescent="0.25">
      <c r="A44" s="74" t="s">
        <v>1306</v>
      </c>
      <c r="B44" s="1" t="s">
        <v>428</v>
      </c>
      <c r="C44" s="74" t="s">
        <v>6</v>
      </c>
      <c r="D44" s="1">
        <v>2017</v>
      </c>
      <c r="E44">
        <v>18494.665850167301</v>
      </c>
      <c r="R44" s="76">
        <f t="shared" si="45"/>
        <v>8.7838589047483789E-2</v>
      </c>
      <c r="S44" s="76">
        <f t="shared" si="46"/>
        <v>0</v>
      </c>
      <c r="T44" s="76">
        <f t="shared" si="47"/>
        <v>0.5308492864354234</v>
      </c>
      <c r="U44" s="76">
        <f t="shared" si="48"/>
        <v>0.24197538445937869</v>
      </c>
      <c r="V44" s="76">
        <f t="shared" si="49"/>
        <v>0.13933674005771418</v>
      </c>
      <c r="AF44" s="3" t="str">
        <f t="shared" si="3"/>
        <v>XTRAELC</v>
      </c>
      <c r="AG44" s="58" t="s">
        <v>481</v>
      </c>
      <c r="AH44" s="376" t="str">
        <f t="shared" si="23"/>
        <v>ccons_e</v>
      </c>
      <c r="AI44" s="3">
        <v>3</v>
      </c>
      <c r="AJ44" cm="1">
        <f t="array" ref="AJ44">INDEX($R44:$V44,1,AJ$3)*$E44</f>
        <v>1624.545353183378</v>
      </c>
      <c r="AK44" t="str">
        <f t="shared" si="4"/>
        <v/>
      </c>
      <c r="AL44" t="str">
        <f t="shared" si="5"/>
        <v/>
      </c>
      <c r="AN44" s="3">
        <f t="shared" si="6"/>
        <v>0</v>
      </c>
      <c r="AO44" s="58" t="s">
        <v>481</v>
      </c>
      <c r="AP44" s="376" t="str">
        <f t="shared" si="24"/>
        <v>cmach_e</v>
      </c>
      <c r="AQ44" s="3">
        <v>3</v>
      </c>
      <c r="AR44" cm="1">
        <f t="array" ref="AR44">INDEX($R44:$V44,1,AR$3)*$E44</f>
        <v>0</v>
      </c>
      <c r="AS44" t="str">
        <f t="shared" si="7"/>
        <v/>
      </c>
      <c r="AT44" t="str">
        <f t="shared" si="8"/>
        <v/>
      </c>
      <c r="AV44" s="3">
        <f t="shared" si="9"/>
        <v>0</v>
      </c>
      <c r="AW44" s="58" t="s">
        <v>481</v>
      </c>
      <c r="AX44" s="376" t="str">
        <f t="shared" si="25"/>
        <v>cemch_e</v>
      </c>
      <c r="AY44" s="3">
        <v>3</v>
      </c>
      <c r="AZ44" cm="1">
        <f t="array" ref="AZ44">INDEX($R44:$V44,1,AZ$3)*$E44</f>
        <v>9817.8801694229041</v>
      </c>
      <c r="BA44" t="str">
        <f t="shared" si="10"/>
        <v/>
      </c>
      <c r="BB44" t="str">
        <f t="shared" si="11"/>
        <v/>
      </c>
      <c r="BD44" s="3">
        <f t="shared" si="12"/>
        <v>0</v>
      </c>
      <c r="BE44" s="58" t="s">
        <v>481</v>
      </c>
      <c r="BF44" s="376" t="str">
        <f t="shared" si="26"/>
        <v>cmetp</v>
      </c>
      <c r="BG44" s="3">
        <v>3</v>
      </c>
      <c r="BH44" cm="1">
        <f t="array" ref="BH44">INDEX($R44:$V44,1,BH$3)*$E44</f>
        <v>4475.2538795419741</v>
      </c>
      <c r="BI44" t="str">
        <f t="shared" si="13"/>
        <v/>
      </c>
      <c r="BJ44" t="str">
        <f t="shared" si="14"/>
        <v/>
      </c>
      <c r="BL44" s="3">
        <f t="shared" si="15"/>
        <v>0</v>
      </c>
      <c r="BM44" s="58" t="s">
        <v>481</v>
      </c>
      <c r="BN44" s="376" t="str">
        <f t="shared" si="27"/>
        <v>cbsrv</v>
      </c>
      <c r="BO44" s="3">
        <v>3</v>
      </c>
      <c r="BP44" cm="1">
        <f t="array" ref="BP44">INDEX($R44:$V44,1,BP$3)*$E44</f>
        <v>2576.9864480190445</v>
      </c>
      <c r="BQ44" t="str">
        <f t="shared" si="16"/>
        <v/>
      </c>
      <c r="BR44" t="str">
        <f t="shared" si="17"/>
        <v/>
      </c>
    </row>
    <row r="45" spans="1:70" ht="15" x14ac:dyDescent="0.25">
      <c r="A45" s="74" t="s">
        <v>1307</v>
      </c>
      <c r="B45" s="1" t="s">
        <v>428</v>
      </c>
      <c r="C45" s="74" t="s">
        <v>10</v>
      </c>
      <c r="D45" s="1">
        <v>2017</v>
      </c>
      <c r="E45">
        <v>9247.3329250836705</v>
      </c>
      <c r="R45" s="76">
        <f t="shared" si="45"/>
        <v>8.7838589047483789E-2</v>
      </c>
      <c r="S45" s="76">
        <f t="shared" si="46"/>
        <v>0</v>
      </c>
      <c r="T45" s="76">
        <f t="shared" si="47"/>
        <v>0.5308492864354234</v>
      </c>
      <c r="U45" s="76">
        <f t="shared" si="48"/>
        <v>0.24197538445937869</v>
      </c>
      <c r="V45" s="76">
        <f t="shared" si="49"/>
        <v>0.13933674005771418</v>
      </c>
      <c r="AF45" s="3" t="str">
        <f t="shared" si="3"/>
        <v>XUPSELC</v>
      </c>
      <c r="AG45" s="58" t="s">
        <v>481</v>
      </c>
      <c r="AH45" s="376" t="str">
        <f t="shared" si="23"/>
        <v>ccons_e</v>
      </c>
      <c r="AI45" s="3">
        <v>3</v>
      </c>
      <c r="AJ45" cm="1">
        <f t="array" ref="AJ45">INDEX($R45:$V45,1,AJ$3)*$E45</f>
        <v>812.2726765916907</v>
      </c>
      <c r="AK45" t="str">
        <f t="shared" si="4"/>
        <v/>
      </c>
      <c r="AL45" t="str">
        <f t="shared" si="5"/>
        <v/>
      </c>
      <c r="AN45" s="3">
        <f t="shared" si="6"/>
        <v>0</v>
      </c>
      <c r="AO45" s="58" t="s">
        <v>481</v>
      </c>
      <c r="AP45" s="376" t="str">
        <f t="shared" si="24"/>
        <v>cmach_e</v>
      </c>
      <c r="AQ45" s="3">
        <v>3</v>
      </c>
      <c r="AR45" cm="1">
        <f t="array" ref="AR45">INDEX($R45:$V45,1,AR$3)*$E45</f>
        <v>0</v>
      </c>
      <c r="AS45" t="str">
        <f t="shared" si="7"/>
        <v/>
      </c>
      <c r="AT45" t="str">
        <f t="shared" si="8"/>
        <v/>
      </c>
      <c r="AV45" s="3">
        <f t="shared" si="9"/>
        <v>0</v>
      </c>
      <c r="AW45" s="58" t="s">
        <v>481</v>
      </c>
      <c r="AX45" s="376" t="str">
        <f t="shared" si="25"/>
        <v>cemch_e</v>
      </c>
      <c r="AY45" s="3">
        <v>3</v>
      </c>
      <c r="AZ45" cm="1">
        <f t="array" ref="AZ45">INDEX($R45:$V45,1,AZ$3)*$E45</f>
        <v>4908.940084711463</v>
      </c>
      <c r="BA45" t="str">
        <f t="shared" si="10"/>
        <v/>
      </c>
      <c r="BB45" t="str">
        <f t="shared" si="11"/>
        <v/>
      </c>
      <c r="BD45" s="3">
        <f t="shared" si="12"/>
        <v>0</v>
      </c>
      <c r="BE45" s="58" t="s">
        <v>481</v>
      </c>
      <c r="BF45" s="376" t="str">
        <f t="shared" si="26"/>
        <v>cmetp</v>
      </c>
      <c r="BG45" s="3">
        <v>3</v>
      </c>
      <c r="BH45" cm="1">
        <f t="array" ref="BH45">INDEX($R45:$V45,1,BH$3)*$E45</f>
        <v>2237.6269397709921</v>
      </c>
      <c r="BI45" t="str">
        <f t="shared" si="13"/>
        <v/>
      </c>
      <c r="BJ45" t="str">
        <f t="shared" si="14"/>
        <v/>
      </c>
      <c r="BL45" s="3">
        <f t="shared" si="15"/>
        <v>0</v>
      </c>
      <c r="BM45" s="58" t="s">
        <v>481</v>
      </c>
      <c r="BN45" s="376" t="str">
        <f t="shared" si="27"/>
        <v>cbsrv</v>
      </c>
      <c r="BO45" s="3">
        <v>3</v>
      </c>
      <c r="BP45" cm="1">
        <f t="array" ref="BP45">INDEX($R45:$V45,1,BP$3)*$E45</f>
        <v>1288.4932240095252</v>
      </c>
      <c r="BQ45" t="str">
        <f t="shared" si="16"/>
        <v/>
      </c>
      <c r="BR45" t="str">
        <f t="shared" si="17"/>
        <v/>
      </c>
    </row>
    <row r="46" spans="1:70" x14ac:dyDescent="0.2">
      <c r="C46" s="74"/>
      <c r="D46" s="74"/>
    </row>
    <row r="47" spans="1:70" x14ac:dyDescent="0.2">
      <c r="R47" s="1" t="s">
        <v>529</v>
      </c>
    </row>
    <row r="48" spans="1:70" x14ac:dyDescent="0.2">
      <c r="R48" s="64" t="s">
        <v>513</v>
      </c>
      <c r="S48" s="64" t="s">
        <v>514</v>
      </c>
      <c r="T48" s="64" t="s">
        <v>515</v>
      </c>
      <c r="U48" s="71" t="s">
        <v>276</v>
      </c>
      <c r="V48" s="71" t="s">
        <v>256</v>
      </c>
    </row>
    <row r="49" spans="16:24" x14ac:dyDescent="0.2">
      <c r="P49" s="1" t="s">
        <v>875</v>
      </c>
      <c r="Q49" s="66" t="s">
        <v>160</v>
      </c>
    </row>
    <row r="50" spans="16:24" x14ac:dyDescent="0.2">
      <c r="P50">
        <v>0.5</v>
      </c>
      <c r="Q50" s="1" t="s">
        <v>531</v>
      </c>
      <c r="R50" s="64">
        <f t="array" ref="R50:V50">TRANSPOSE(SAREM_Wind!L273:L277)</f>
        <v>9.8921448517675675E-2</v>
      </c>
      <c r="S50" s="64">
        <v>0.47531473884580877</v>
      </c>
      <c r="T50" s="64">
        <v>0.12678673398692214</v>
      </c>
      <c r="U50" s="64">
        <v>0.20774291465569497</v>
      </c>
      <c r="V50" s="64">
        <v>9.1234163993898498E-2</v>
      </c>
    </row>
    <row r="51" spans="16:24" x14ac:dyDescent="0.2">
      <c r="P51">
        <v>0</v>
      </c>
      <c r="Q51" s="1" t="s">
        <v>532</v>
      </c>
      <c r="R51" s="64">
        <f t="array" ref="R51:V51">TRANSPOSE(SAREM_Wind!N273:N277)</f>
        <v>0.13242503165498545</v>
      </c>
      <c r="S51" s="64">
        <v>0.49141294778456335</v>
      </c>
      <c r="T51" s="64">
        <v>0.13108081360948959</v>
      </c>
      <c r="U51" s="64">
        <v>0.15075707642690084</v>
      </c>
      <c r="V51" s="64">
        <v>9.4324130524060773E-2</v>
      </c>
    </row>
    <row r="52" spans="16:24" x14ac:dyDescent="0.2">
      <c r="P52">
        <v>0.5</v>
      </c>
      <c r="Q52" s="1" t="s">
        <v>530</v>
      </c>
      <c r="R52" s="76">
        <f t="array" ref="R52:V52">TRANSPOSE(NREL!T45:T49)</f>
        <v>7.9289131920710867E-2</v>
      </c>
      <c r="S52" s="76">
        <v>0.56390977443609025</v>
      </c>
      <c r="T52" s="76">
        <v>9.0225563909774431E-2</v>
      </c>
      <c r="U52" s="76">
        <v>0.1394395078605605</v>
      </c>
      <c r="V52" s="76">
        <v>0.12713602187286399</v>
      </c>
    </row>
    <row r="53" spans="16:24" x14ac:dyDescent="0.2">
      <c r="Q53" s="72" t="s">
        <v>49</v>
      </c>
      <c r="R53" s="375">
        <f>SUMPRODUCT($P$50:$P$52,R$50:R$52)</f>
        <v>8.9105290219193278E-2</v>
      </c>
      <c r="S53" s="375">
        <f>SUMPRODUCT($P$50:$P$52,S$50:S$52)</f>
        <v>0.51961225664094957</v>
      </c>
      <c r="T53" s="375">
        <f>SUMPRODUCT($P$50:$P$52,T$50:T$52)</f>
        <v>0.10850614894834829</v>
      </c>
      <c r="U53" s="375">
        <f>SUMPRODUCT($P$50:$P$52,U$50:U$52)</f>
        <v>0.17359121125812774</v>
      </c>
      <c r="V53" s="375">
        <f>SUMPRODUCT($P$50:$P$52,V$50:V$52)</f>
        <v>0.10918509293338124</v>
      </c>
      <c r="W53" s="267">
        <f>SUM(R53:V53)</f>
        <v>1.0000000000000002</v>
      </c>
      <c r="X53" s="267"/>
    </row>
    <row r="54" spans="16:24" x14ac:dyDescent="0.2">
      <c r="P54" s="1" t="s">
        <v>876</v>
      </c>
      <c r="R54" s="268"/>
      <c r="S54" s="268"/>
      <c r="T54" s="268"/>
      <c r="U54" s="268"/>
      <c r="V54" s="268"/>
    </row>
    <row r="56" spans="16:24" x14ac:dyDescent="0.2">
      <c r="Q56" s="66" t="s">
        <v>161</v>
      </c>
    </row>
    <row r="57" spans="16:24" x14ac:dyDescent="0.2">
      <c r="Q57" s="1" t="s">
        <v>1109</v>
      </c>
      <c r="R57" s="64">
        <f t="array" ref="R57:V57">TRANSPOSE(SAREM_PV!L324:L328)</f>
        <v>0.11845967407022193</v>
      </c>
      <c r="S57" s="64">
        <v>0.47139024646121935</v>
      </c>
      <c r="T57" s="64">
        <v>0.17024221633999342</v>
      </c>
      <c r="U57" s="64">
        <v>0.12042110849933838</v>
      </c>
      <c r="V57" s="64">
        <v>0.11845967407022193</v>
      </c>
    </row>
    <row r="58" spans="16:24" x14ac:dyDescent="0.2">
      <c r="P58">
        <v>0.5</v>
      </c>
      <c r="Q58" s="1" t="s">
        <v>1110</v>
      </c>
      <c r="R58" s="64">
        <f t="array" ref="R58:V58">TRANSPOSE(SAREM_PV!J324:J328)</f>
        <v>0.21573715948430497</v>
      </c>
      <c r="S58" s="64">
        <v>0.33950751385359229</v>
      </c>
      <c r="T58" s="64">
        <v>0.1415480231967611</v>
      </c>
      <c r="U58" s="64">
        <v>8.6730413853540619E-2</v>
      </c>
      <c r="V58" s="64">
        <v>0.21573715948430497</v>
      </c>
    </row>
    <row r="59" spans="16:24" x14ac:dyDescent="0.2">
      <c r="P59">
        <v>0.5</v>
      </c>
      <c r="Q59" s="1" t="s">
        <v>560</v>
      </c>
      <c r="R59" s="64">
        <f t="array" ref="R59:V59">TRANSPOSE(NREL!R45:R49)</f>
        <v>0.22999999999999998</v>
      </c>
      <c r="S59" s="64">
        <v>0.4</v>
      </c>
      <c r="T59" s="64">
        <v>0.17</v>
      </c>
      <c r="U59" s="64">
        <v>0</v>
      </c>
      <c r="V59" s="64">
        <v>0.19999999999999996</v>
      </c>
    </row>
    <row r="60" spans="16:24" x14ac:dyDescent="0.2">
      <c r="Q60" s="72" t="str">
        <f>MaterialInputs!A10</f>
        <v>EPV_Grid</v>
      </c>
      <c r="R60" s="375">
        <f>SUMPRODUCT($P$57:$P$59,R$57:R$59)</f>
        <v>0.22286857974215246</v>
      </c>
      <c r="S60" s="375">
        <f>SUMPRODUCT($P$57:$P$59,S$57:S$59)</f>
        <v>0.36975375692679613</v>
      </c>
      <c r="T60" s="375">
        <f>SUMPRODUCT($P$57:$P$59,T$57:T$59)</f>
        <v>0.15577401159838056</v>
      </c>
      <c r="U60" s="375">
        <f>SUMPRODUCT($P$57:$P$59,U$57:U$59)</f>
        <v>4.336520692677031E-2</v>
      </c>
      <c r="V60" s="375">
        <f>SUMPRODUCT($P$57:$P$59,V$57:V$59)</f>
        <v>0.20786857974215245</v>
      </c>
      <c r="W60" s="267">
        <f>SUM(R60:V60)</f>
        <v>0.99963013493625186</v>
      </c>
      <c r="X60" s="267"/>
    </row>
    <row r="64" spans="16:24" x14ac:dyDescent="0.2">
      <c r="Q64" s="1" t="s">
        <v>561</v>
      </c>
      <c r="R64" s="64">
        <f t="array" ref="R64:V64">TRANSPOSE(NREL!S45:S49)</f>
        <v>0.27669172932330827</v>
      </c>
      <c r="S64" s="64">
        <v>0.3007518796992481</v>
      </c>
      <c r="T64" s="64">
        <v>0.18195488721804515</v>
      </c>
      <c r="U64" s="64">
        <v>0</v>
      </c>
      <c r="V64" s="64">
        <v>0.24060150375939846</v>
      </c>
    </row>
    <row r="65" spans="17:22" x14ac:dyDescent="0.2">
      <c r="Q65" s="1" t="s">
        <v>499</v>
      </c>
      <c r="R65" s="76">
        <f>R64</f>
        <v>0.27669172932330827</v>
      </c>
      <c r="S65" s="76">
        <f t="shared" ref="S65:V65" si="50">S64</f>
        <v>0.3007518796992481</v>
      </c>
      <c r="T65" s="76">
        <f t="shared" si="50"/>
        <v>0.18195488721804515</v>
      </c>
      <c r="U65" s="76">
        <f t="shared" si="50"/>
        <v>0</v>
      </c>
      <c r="V65" s="76">
        <f t="shared" si="50"/>
        <v>0.24060150375939846</v>
      </c>
    </row>
    <row r="68" spans="17:22" x14ac:dyDescent="0.2">
      <c r="Q68" s="66" t="s">
        <v>1117</v>
      </c>
    </row>
    <row r="69" spans="17:22" x14ac:dyDescent="0.2">
      <c r="Q69" t="str">
        <f>A24</f>
        <v>Utility Scale Storage - 4hrs</v>
      </c>
      <c r="R69" s="64">
        <f t="array" ref="R69:V69">TRANSPOSE(NREL!U45:U49)</f>
        <v>5.4200542005420058E-2</v>
      </c>
      <c r="S69" s="64">
        <v>0.58265582655826553</v>
      </c>
      <c r="T69" s="64">
        <v>0.15176151761517614</v>
      </c>
      <c r="U69" s="64">
        <v>0</v>
      </c>
      <c r="V69" s="64">
        <v>0.21138211382113822</v>
      </c>
    </row>
    <row r="78" spans="17:22" x14ac:dyDescent="0.2">
      <c r="Q78" t="s">
        <v>1139</v>
      </c>
      <c r="R78">
        <v>2019</v>
      </c>
      <c r="S78" t="s">
        <v>1135</v>
      </c>
    </row>
    <row r="79" spans="17:22" x14ac:dyDescent="0.2">
      <c r="Q79" s="64" t="s">
        <v>513</v>
      </c>
      <c r="R79" s="64">
        <v>0.48737000000000003</v>
      </c>
      <c r="S79" s="76">
        <f>R79</f>
        <v>0.48737000000000003</v>
      </c>
      <c r="T79" s="76"/>
      <c r="U79" s="76"/>
    </row>
    <row r="80" spans="17:22" x14ac:dyDescent="0.2">
      <c r="Q80" s="64" t="s">
        <v>514</v>
      </c>
      <c r="R80" s="64">
        <v>0.17191000000000001</v>
      </c>
      <c r="S80" s="76">
        <f>S79+R80</f>
        <v>0.65928000000000009</v>
      </c>
      <c r="T80" s="76"/>
      <c r="U80" s="76"/>
    </row>
    <row r="81" spans="17:21" x14ac:dyDescent="0.2">
      <c r="Q81" s="64" t="s">
        <v>272</v>
      </c>
      <c r="R81" s="64">
        <v>0.11017</v>
      </c>
      <c r="S81" s="76">
        <f>S80+R81</f>
        <v>0.76945000000000008</v>
      </c>
      <c r="T81" s="76"/>
      <c r="U81" s="76"/>
    </row>
    <row r="82" spans="17:21" x14ac:dyDescent="0.2">
      <c r="Q82" s="64" t="s">
        <v>256</v>
      </c>
      <c r="R82" s="64">
        <v>7.4209999999999998E-2</v>
      </c>
      <c r="S82" s="76">
        <f>S81+R82</f>
        <v>0.84366000000000008</v>
      </c>
      <c r="T82" s="76"/>
      <c r="U82" s="76"/>
    </row>
    <row r="83" spans="17:21" x14ac:dyDescent="0.2">
      <c r="Q83" s="64" t="s">
        <v>515</v>
      </c>
      <c r="R83" s="64">
        <v>7.2400000000000006E-2</v>
      </c>
      <c r="S83" s="76">
        <f>S82+R83</f>
        <v>0.9160600000000001</v>
      </c>
      <c r="T83" s="76"/>
      <c r="U83" s="76"/>
    </row>
    <row r="84" spans="17:21" x14ac:dyDescent="0.2">
      <c r="Q84" s="64" t="s">
        <v>273</v>
      </c>
      <c r="R84" s="64">
        <v>3.6269999999999997E-2</v>
      </c>
      <c r="S84" s="76">
        <f>S83+R84</f>
        <v>0.95233000000000012</v>
      </c>
      <c r="T84" s="76"/>
      <c r="U84" s="76"/>
    </row>
    <row r="85" spans="17:21" x14ac:dyDescent="0.2">
      <c r="R85" s="64"/>
    </row>
    <row r="86" spans="17:21" x14ac:dyDescent="0.2">
      <c r="Q86" t="s">
        <v>276</v>
      </c>
      <c r="R86" s="64"/>
    </row>
    <row r="87" spans="17:21" x14ac:dyDescent="0.2">
      <c r="Q87" t="s">
        <v>279</v>
      </c>
      <c r="R87" s="64"/>
    </row>
    <row r="88" spans="17:21" x14ac:dyDescent="0.2">
      <c r="Q88" t="s">
        <v>519</v>
      </c>
      <c r="R88" s="64"/>
    </row>
    <row r="89" spans="17:21" x14ac:dyDescent="0.2">
      <c r="Q89" t="s">
        <v>300</v>
      </c>
      <c r="R89" s="64"/>
    </row>
    <row r="90" spans="17:21" x14ac:dyDescent="0.2">
      <c r="Q90" t="s">
        <v>278</v>
      </c>
      <c r="R90" s="64"/>
    </row>
    <row r="91" spans="17:21" x14ac:dyDescent="0.2">
      <c r="Q91" t="s">
        <v>274</v>
      </c>
      <c r="R91" s="64"/>
    </row>
    <row r="92" spans="17:21" x14ac:dyDescent="0.2">
      <c r="Q92" t="s">
        <v>281</v>
      </c>
      <c r="R92" s="64"/>
    </row>
    <row r="93" spans="17:21" x14ac:dyDescent="0.2">
      <c r="Q93" s="64"/>
      <c r="R93" s="64"/>
    </row>
    <row r="94" spans="17:21" x14ac:dyDescent="0.2">
      <c r="Q94" s="64"/>
      <c r="R94" s="64"/>
    </row>
    <row r="95" spans="17:21" x14ac:dyDescent="0.2">
      <c r="Q95" s="64"/>
      <c r="R95" s="64"/>
    </row>
    <row r="96" spans="17:21" x14ac:dyDescent="0.2">
      <c r="Q96" s="64"/>
      <c r="R96" s="64"/>
    </row>
    <row r="97" spans="17:30" x14ac:dyDescent="0.2">
      <c r="Q97" s="64"/>
      <c r="R97" s="64"/>
    </row>
    <row r="99" spans="17:30" x14ac:dyDescent="0.2">
      <c r="Q99" t="s">
        <v>1138</v>
      </c>
      <c r="R99">
        <v>2019</v>
      </c>
      <c r="S99" t="s">
        <v>1135</v>
      </c>
      <c r="V99" t="s">
        <v>1137</v>
      </c>
      <c r="W99">
        <v>2019</v>
      </c>
      <c r="Y99" t="s">
        <v>1135</v>
      </c>
      <c r="AB99" t="s">
        <v>1136</v>
      </c>
      <c r="AC99">
        <v>2019</v>
      </c>
      <c r="AD99" t="s">
        <v>1135</v>
      </c>
    </row>
    <row r="100" spans="17:30" x14ac:dyDescent="0.2">
      <c r="Q100" t="s">
        <v>256</v>
      </c>
      <c r="R100" s="64">
        <v>0.111</v>
      </c>
      <c r="S100" s="76">
        <f>R100</f>
        <v>0.111</v>
      </c>
      <c r="T100" s="76">
        <f t="shared" ref="T100:T109" si="51">R100*$R$79</f>
        <v>5.4098070000000005E-2</v>
      </c>
      <c r="U100" s="76">
        <f t="shared" ref="U100:U109" si="52">S100*$R$79</f>
        <v>5.4098070000000005E-2</v>
      </c>
      <c r="V100" t="s">
        <v>278</v>
      </c>
      <c r="W100" s="64">
        <v>0.13469999999999999</v>
      </c>
      <c r="X100" s="64"/>
      <c r="Y100" s="76">
        <f>W100</f>
        <v>0.13469999999999999</v>
      </c>
      <c r="Z100" s="76">
        <f t="shared" ref="Z100:Z107" si="53">W100*$R$80</f>
        <v>2.3156276999999999E-2</v>
      </c>
      <c r="AA100" s="76">
        <f t="shared" ref="AA100:AA107" si="54">Y100*$R$80</f>
        <v>2.3156276999999999E-2</v>
      </c>
      <c r="AB100" t="s">
        <v>277</v>
      </c>
      <c r="AC100" s="64">
        <v>0.1288</v>
      </c>
      <c r="AD100" s="76">
        <f>AC100</f>
        <v>0.1288</v>
      </c>
    </row>
    <row r="101" spans="17:30" x14ac:dyDescent="0.2">
      <c r="Q101" t="s">
        <v>254</v>
      </c>
      <c r="R101" s="64">
        <v>0.109</v>
      </c>
      <c r="S101" s="76">
        <f t="shared" ref="S101:S109" si="55">S100+R101</f>
        <v>0.22</v>
      </c>
      <c r="T101" s="76">
        <f t="shared" si="51"/>
        <v>5.3123330000000003E-2</v>
      </c>
      <c r="U101" s="76">
        <f t="shared" si="52"/>
        <v>0.10722140000000001</v>
      </c>
      <c r="V101" t="s">
        <v>276</v>
      </c>
      <c r="W101" s="64">
        <v>0.1104</v>
      </c>
      <c r="X101" s="64"/>
      <c r="Y101" s="76">
        <f t="shared" ref="Y101:Y107" si="56">Y100+W101</f>
        <v>0.24509999999999998</v>
      </c>
      <c r="Z101" s="76">
        <f t="shared" si="53"/>
        <v>1.8978864000000002E-2</v>
      </c>
      <c r="AA101" s="76">
        <f t="shared" si="54"/>
        <v>4.2135141000000001E-2</v>
      </c>
      <c r="AB101" t="s">
        <v>275</v>
      </c>
      <c r="AC101" s="64">
        <v>0.1101</v>
      </c>
      <c r="AD101" s="76">
        <f>AD100+AC101</f>
        <v>0.2389</v>
      </c>
    </row>
    <row r="102" spans="17:30" x14ac:dyDescent="0.2">
      <c r="Q102" t="s">
        <v>276</v>
      </c>
      <c r="R102" s="64">
        <v>7.85E-2</v>
      </c>
      <c r="S102" s="76">
        <f t="shared" si="55"/>
        <v>0.29849999999999999</v>
      </c>
      <c r="T102" s="76">
        <f t="shared" si="51"/>
        <v>3.8258545000000005E-2</v>
      </c>
      <c r="U102" s="76">
        <f t="shared" si="52"/>
        <v>0.145479945</v>
      </c>
      <c r="V102" t="s">
        <v>275</v>
      </c>
      <c r="W102" s="64">
        <v>9.5299999999999996E-2</v>
      </c>
      <c r="X102" s="64"/>
      <c r="Y102" s="76">
        <f t="shared" si="56"/>
        <v>0.34039999999999998</v>
      </c>
      <c r="Z102" s="76">
        <f t="shared" si="53"/>
        <v>1.6383023E-2</v>
      </c>
      <c r="AA102" s="76">
        <f t="shared" si="54"/>
        <v>5.8518163999999998E-2</v>
      </c>
      <c r="AB102" t="s">
        <v>278</v>
      </c>
      <c r="AC102" s="64">
        <v>7.1199999999999999E-2</v>
      </c>
      <c r="AD102" s="76">
        <f>AD101+AC102</f>
        <v>0.31009999999999999</v>
      </c>
    </row>
    <row r="103" spans="17:30" ht="15" x14ac:dyDescent="0.25">
      <c r="Q103" t="s">
        <v>279</v>
      </c>
      <c r="R103" s="64">
        <v>4.8899999999999999E-2</v>
      </c>
      <c r="S103" s="76">
        <f t="shared" si="55"/>
        <v>0.34739999999999999</v>
      </c>
      <c r="T103" s="76">
        <f t="shared" si="51"/>
        <v>2.3832393E-2</v>
      </c>
      <c r="U103" s="76">
        <f t="shared" si="52"/>
        <v>0.16931233800000001</v>
      </c>
      <c r="V103" s="378" t="s">
        <v>302</v>
      </c>
      <c r="W103" s="377">
        <v>5.0700000000000002E-2</v>
      </c>
      <c r="X103" s="377"/>
      <c r="Y103" s="76">
        <f t="shared" si="56"/>
        <v>0.3911</v>
      </c>
      <c r="Z103" s="76">
        <f t="shared" si="53"/>
        <v>8.7158370000000006E-3</v>
      </c>
      <c r="AA103" s="76">
        <f t="shared" si="54"/>
        <v>6.7234001000000002E-2</v>
      </c>
      <c r="AB103" t="s">
        <v>273</v>
      </c>
      <c r="AC103" s="64">
        <v>6.3E-2</v>
      </c>
      <c r="AD103" s="76">
        <f>AD102+AC103</f>
        <v>0.37309999999999999</v>
      </c>
    </row>
    <row r="104" spans="17:30" x14ac:dyDescent="0.2">
      <c r="Q104" t="s">
        <v>262</v>
      </c>
      <c r="R104" s="64">
        <v>4.8099999999999997E-2</v>
      </c>
      <c r="S104" s="76">
        <f t="shared" si="55"/>
        <v>0.39549999999999996</v>
      </c>
      <c r="T104" s="76">
        <f t="shared" si="51"/>
        <v>2.3442497E-2</v>
      </c>
      <c r="U104" s="76">
        <f t="shared" si="52"/>
        <v>0.19275483499999999</v>
      </c>
      <c r="V104" t="s">
        <v>273</v>
      </c>
      <c r="W104" s="64">
        <v>4.6699999999999998E-2</v>
      </c>
      <c r="X104" s="64"/>
      <c r="Y104" s="76">
        <f t="shared" si="56"/>
        <v>0.43780000000000002</v>
      </c>
      <c r="Z104" s="76">
        <f t="shared" si="53"/>
        <v>8.0281970000000008E-3</v>
      </c>
      <c r="AA104" s="76">
        <f t="shared" si="54"/>
        <v>7.5262198000000002E-2</v>
      </c>
      <c r="AB104" t="s">
        <v>302</v>
      </c>
      <c r="AC104" s="64">
        <v>5.5599999999999997E-2</v>
      </c>
      <c r="AD104" s="76">
        <f>AD103+AC104</f>
        <v>0.42869999999999997</v>
      </c>
    </row>
    <row r="105" spans="17:30" x14ac:dyDescent="0.2">
      <c r="Q105" t="s">
        <v>519</v>
      </c>
      <c r="R105" s="64">
        <v>4.4600000000000001E-2</v>
      </c>
      <c r="S105" s="76">
        <f t="shared" si="55"/>
        <v>0.44009999999999994</v>
      </c>
      <c r="T105" s="76">
        <f t="shared" si="51"/>
        <v>2.1736702E-2</v>
      </c>
      <c r="U105" s="76">
        <f t="shared" si="52"/>
        <v>0.21449153699999998</v>
      </c>
      <c r="V105" t="s">
        <v>256</v>
      </c>
      <c r="W105" s="64">
        <v>4.0399999999999998E-2</v>
      </c>
      <c r="X105" s="64"/>
      <c r="Y105" s="76">
        <f t="shared" si="56"/>
        <v>0.47820000000000001</v>
      </c>
      <c r="Z105" s="76">
        <f t="shared" si="53"/>
        <v>6.9451640000000002E-3</v>
      </c>
      <c r="AA105" s="76">
        <f t="shared" si="54"/>
        <v>8.2207362000000006E-2</v>
      </c>
      <c r="AB105" t="s">
        <v>274</v>
      </c>
      <c r="AC105" s="64">
        <v>4.4699999999999997E-2</v>
      </c>
    </row>
    <row r="106" spans="17:30" x14ac:dyDescent="0.2">
      <c r="Q106" t="s">
        <v>300</v>
      </c>
      <c r="R106" s="64">
        <v>3.6299999999999999E-2</v>
      </c>
      <c r="S106" s="76">
        <f t="shared" si="55"/>
        <v>0.47639999999999993</v>
      </c>
      <c r="T106" s="76">
        <f t="shared" si="51"/>
        <v>1.7691531E-2</v>
      </c>
      <c r="U106" s="76">
        <f t="shared" si="52"/>
        <v>0.23218306799999999</v>
      </c>
      <c r="V106" t="s">
        <v>274</v>
      </c>
      <c r="W106" s="64">
        <v>3.4099999999999998E-2</v>
      </c>
      <c r="X106" s="64"/>
      <c r="Y106" s="76">
        <f t="shared" si="56"/>
        <v>0.51229999999999998</v>
      </c>
      <c r="Z106" s="76">
        <f t="shared" si="53"/>
        <v>5.8621309999999996E-3</v>
      </c>
      <c r="AA106" s="76">
        <f t="shared" si="54"/>
        <v>8.8069492999999999E-2</v>
      </c>
      <c r="AB106" t="s">
        <v>256</v>
      </c>
      <c r="AC106" s="64">
        <v>4.2099999999999999E-2</v>
      </c>
    </row>
    <row r="107" spans="17:30" x14ac:dyDescent="0.2">
      <c r="Q107" t="s">
        <v>278</v>
      </c>
      <c r="R107" s="64">
        <v>3.1899999999999998E-2</v>
      </c>
      <c r="S107" s="76">
        <f t="shared" si="55"/>
        <v>0.50829999999999997</v>
      </c>
      <c r="T107" s="76">
        <f t="shared" si="51"/>
        <v>1.5547103E-2</v>
      </c>
      <c r="U107" s="76">
        <f t="shared" si="52"/>
        <v>0.247730171</v>
      </c>
      <c r="V107" t="s">
        <v>268</v>
      </c>
      <c r="W107" s="64">
        <v>1.7899999999999999E-2</v>
      </c>
      <c r="X107" s="64"/>
      <c r="Y107" s="76">
        <f t="shared" si="56"/>
        <v>0.5302</v>
      </c>
      <c r="Z107" s="76">
        <f t="shared" si="53"/>
        <v>3.0771890000000001E-3</v>
      </c>
      <c r="AA107" s="76">
        <f t="shared" si="54"/>
        <v>9.1146682000000007E-2</v>
      </c>
      <c r="AB107" t="s">
        <v>254</v>
      </c>
      <c r="AC107" s="64">
        <v>3.9600000000000003E-2</v>
      </c>
    </row>
    <row r="108" spans="17:30" x14ac:dyDescent="0.2">
      <c r="Q108" t="s">
        <v>274</v>
      </c>
      <c r="R108" s="64">
        <v>3.15E-2</v>
      </c>
      <c r="S108" s="76">
        <f t="shared" si="55"/>
        <v>0.53979999999999995</v>
      </c>
      <c r="T108" s="76">
        <f t="shared" si="51"/>
        <v>1.5352155000000001E-2</v>
      </c>
      <c r="U108" s="76">
        <f t="shared" si="52"/>
        <v>0.26308232599999998</v>
      </c>
      <c r="V108" t="s">
        <v>254</v>
      </c>
      <c r="W108" s="64">
        <v>1.7299999999999999E-2</v>
      </c>
      <c r="X108" s="64"/>
      <c r="AB108" t="s">
        <v>276</v>
      </c>
      <c r="AC108" s="64">
        <v>3.3500000000000002E-2</v>
      </c>
    </row>
    <row r="109" spans="17:30" x14ac:dyDescent="0.2">
      <c r="Q109" t="s">
        <v>281</v>
      </c>
      <c r="R109" s="64">
        <v>1.9099999999999999E-2</v>
      </c>
      <c r="S109" s="76">
        <f t="shared" si="55"/>
        <v>0.55889999999999995</v>
      </c>
      <c r="T109" s="76">
        <f t="shared" si="51"/>
        <v>9.3087670000000008E-3</v>
      </c>
      <c r="U109" s="76">
        <f t="shared" si="52"/>
        <v>0.27239109299999997</v>
      </c>
      <c r="V109" t="s">
        <v>257</v>
      </c>
      <c r="W109" s="64">
        <v>1.7000000000000001E-2</v>
      </c>
      <c r="X109" s="64"/>
      <c r="AB109" t="s">
        <v>262</v>
      </c>
      <c r="AC109" s="64">
        <v>3.1099999999999999E-2</v>
      </c>
    </row>
    <row r="110" spans="17:30" x14ac:dyDescent="0.2">
      <c r="Q110" t="s">
        <v>257</v>
      </c>
      <c r="R110" s="64">
        <v>1.5100000000000001E-2</v>
      </c>
      <c r="V110" t="s">
        <v>277</v>
      </c>
      <c r="W110" s="64">
        <v>1.29E-2</v>
      </c>
      <c r="X110" s="64"/>
      <c r="AB110" t="s">
        <v>556</v>
      </c>
      <c r="AC110" s="64">
        <v>2.7900000000000001E-2</v>
      </c>
    </row>
    <row r="111" spans="17:30" x14ac:dyDescent="0.2">
      <c r="Q111" t="s">
        <v>283</v>
      </c>
      <c r="R111" s="64">
        <v>1.12E-2</v>
      </c>
      <c r="V111" t="s">
        <v>1134</v>
      </c>
      <c r="W111" s="64">
        <v>0.01</v>
      </c>
      <c r="X111" s="64"/>
      <c r="AB111" t="s">
        <v>301</v>
      </c>
      <c r="AC111" s="64">
        <v>2.58E-2</v>
      </c>
    </row>
    <row r="112" spans="17:30" x14ac:dyDescent="0.2">
      <c r="Q112" t="s">
        <v>290</v>
      </c>
      <c r="R112" s="64">
        <v>9.9000000000000008E-3</v>
      </c>
      <c r="V112" t="s">
        <v>272</v>
      </c>
      <c r="W112" s="64">
        <v>9.7000000000000003E-3</v>
      </c>
      <c r="X112" s="64"/>
      <c r="AB112" t="s">
        <v>272</v>
      </c>
      <c r="AC112" s="64">
        <v>2.3099999999999999E-2</v>
      </c>
    </row>
    <row r="113" spans="17:29" x14ac:dyDescent="0.2">
      <c r="Q113" t="s">
        <v>1124</v>
      </c>
      <c r="R113" s="64">
        <v>8.3000000000000001E-3</v>
      </c>
      <c r="V113" t="s">
        <v>262</v>
      </c>
      <c r="W113" s="64">
        <v>9.7000000000000003E-3</v>
      </c>
      <c r="X113" s="64"/>
      <c r="AB113" t="s">
        <v>281</v>
      </c>
      <c r="AC113" s="64">
        <v>2.1100000000000001E-2</v>
      </c>
    </row>
    <row r="114" spans="17:29" x14ac:dyDescent="0.2">
      <c r="Q114" t="s">
        <v>275</v>
      </c>
      <c r="R114" s="64">
        <v>5.7999999999999996E-3</v>
      </c>
      <c r="V114" t="s">
        <v>284</v>
      </c>
      <c r="W114" s="64">
        <v>9.2999999999999992E-3</v>
      </c>
      <c r="X114" s="64"/>
      <c r="AB114" t="s">
        <v>271</v>
      </c>
      <c r="AC114" s="64">
        <v>1.9900000000000001E-2</v>
      </c>
    </row>
    <row r="115" spans="17:29" x14ac:dyDescent="0.2">
      <c r="Q115" t="s">
        <v>259</v>
      </c>
      <c r="R115" s="64">
        <v>4.7999999999999996E-3</v>
      </c>
      <c r="V115" t="s">
        <v>301</v>
      </c>
      <c r="W115" s="64">
        <v>8.6E-3</v>
      </c>
      <c r="X115" s="64"/>
      <c r="AB115" t="s">
        <v>284</v>
      </c>
      <c r="AC115" s="64">
        <v>1.8599999999999998E-2</v>
      </c>
    </row>
    <row r="116" spans="17:29" x14ac:dyDescent="0.2">
      <c r="Q116" t="s">
        <v>294</v>
      </c>
      <c r="R116" s="64">
        <v>4.4999999999999997E-3</v>
      </c>
      <c r="V116" t="s">
        <v>300</v>
      </c>
      <c r="W116" s="64">
        <v>6.4000000000000003E-3</v>
      </c>
      <c r="X116" s="64"/>
      <c r="AB116" t="s">
        <v>268</v>
      </c>
      <c r="AC116" s="64">
        <v>1.7999999999999999E-2</v>
      </c>
    </row>
    <row r="117" spans="17:29" x14ac:dyDescent="0.2">
      <c r="Q117" t="s">
        <v>298</v>
      </c>
      <c r="R117" s="64">
        <v>4.3E-3</v>
      </c>
      <c r="V117" t="s">
        <v>281</v>
      </c>
      <c r="W117" s="64">
        <v>5.3E-3</v>
      </c>
      <c r="X117" s="64"/>
      <c r="AB117" t="s">
        <v>257</v>
      </c>
      <c r="AC117" s="64">
        <v>1.0800000000000001E-2</v>
      </c>
    </row>
    <row r="118" spans="17:29" x14ac:dyDescent="0.2">
      <c r="Q118" t="s">
        <v>268</v>
      </c>
      <c r="R118" s="64">
        <v>4.3E-3</v>
      </c>
      <c r="V118" t="s">
        <v>259</v>
      </c>
      <c r="W118" s="64">
        <v>4.4000000000000003E-3</v>
      </c>
      <c r="X118" s="64"/>
      <c r="AB118" t="s">
        <v>555</v>
      </c>
      <c r="AC118" s="64">
        <v>9.1999999999999998E-3</v>
      </c>
    </row>
    <row r="119" spans="17:29" x14ac:dyDescent="0.2">
      <c r="Q119" t="s">
        <v>266</v>
      </c>
      <c r="R119" s="64">
        <v>4.1999999999999997E-3</v>
      </c>
      <c r="V119" t="s">
        <v>282</v>
      </c>
      <c r="W119" s="64">
        <v>3.8999999999999998E-3</v>
      </c>
      <c r="X119" s="64"/>
      <c r="AB119" t="s">
        <v>1134</v>
      </c>
      <c r="AC119" s="64">
        <v>8.5000000000000006E-3</v>
      </c>
    </row>
    <row r="120" spans="17:29" x14ac:dyDescent="0.2">
      <c r="Q120" t="s">
        <v>1133</v>
      </c>
      <c r="R120" s="64">
        <v>2.8E-3</v>
      </c>
      <c r="V120" t="s">
        <v>283</v>
      </c>
      <c r="W120" s="64">
        <v>2.8E-3</v>
      </c>
      <c r="X120" s="64"/>
      <c r="AB120" t="s">
        <v>283</v>
      </c>
      <c r="AC120" s="64">
        <v>5.4000000000000003E-3</v>
      </c>
    </row>
    <row r="121" spans="17:29" x14ac:dyDescent="0.2">
      <c r="Q121" t="s">
        <v>264</v>
      </c>
      <c r="R121" s="64">
        <v>2.2000000000000001E-3</v>
      </c>
      <c r="V121" t="s">
        <v>290</v>
      </c>
      <c r="W121" s="64">
        <v>2.2000000000000001E-3</v>
      </c>
      <c r="X121" s="64"/>
      <c r="AB121" t="s">
        <v>259</v>
      </c>
      <c r="AC121" s="64">
        <v>5.0000000000000001E-3</v>
      </c>
    </row>
    <row r="122" spans="17:29" x14ac:dyDescent="0.2">
      <c r="Q122" t="s">
        <v>291</v>
      </c>
      <c r="R122" s="64">
        <v>2E-3</v>
      </c>
      <c r="V122" t="s">
        <v>271</v>
      </c>
      <c r="W122" s="64">
        <v>2E-3</v>
      </c>
      <c r="X122" s="64"/>
      <c r="AB122" t="s">
        <v>264</v>
      </c>
      <c r="AC122" s="64">
        <v>2.2000000000000001E-3</v>
      </c>
    </row>
    <row r="123" spans="17:29" x14ac:dyDescent="0.2">
      <c r="Q123" t="s">
        <v>289</v>
      </c>
      <c r="R123" s="64">
        <v>1.1000000000000001E-3</v>
      </c>
      <c r="V123" t="s">
        <v>289</v>
      </c>
      <c r="W123" s="64">
        <v>1.9E-3</v>
      </c>
      <c r="X123" s="64"/>
      <c r="AB123" t="s">
        <v>1128</v>
      </c>
      <c r="AC123" s="64">
        <v>2.0999999999999999E-3</v>
      </c>
    </row>
    <row r="124" spans="17:29" x14ac:dyDescent="0.2">
      <c r="Q124" t="s">
        <v>1132</v>
      </c>
      <c r="R124" s="64">
        <v>1E-3</v>
      </c>
      <c r="V124" t="s">
        <v>269</v>
      </c>
      <c r="W124" s="64">
        <v>1.9E-3</v>
      </c>
      <c r="X124" s="64"/>
      <c r="AB124" t="s">
        <v>289</v>
      </c>
      <c r="AC124" s="64">
        <v>2E-3</v>
      </c>
    </row>
    <row r="125" spans="17:29" x14ac:dyDescent="0.2">
      <c r="Q125" t="s">
        <v>1131</v>
      </c>
      <c r="R125" s="64">
        <v>6.9999999999999999E-4</v>
      </c>
      <c r="V125" t="s">
        <v>264</v>
      </c>
      <c r="W125" s="64">
        <v>1.9E-3</v>
      </c>
      <c r="X125" s="64"/>
      <c r="AB125" t="s">
        <v>279</v>
      </c>
      <c r="AC125" s="64">
        <v>1.9E-3</v>
      </c>
    </row>
    <row r="126" spans="17:29" x14ac:dyDescent="0.2">
      <c r="Q126" t="s">
        <v>270</v>
      </c>
      <c r="R126" s="64">
        <v>5.9999999999999995E-4</v>
      </c>
      <c r="V126" t="s">
        <v>260</v>
      </c>
      <c r="W126" s="64">
        <v>1.6000000000000001E-3</v>
      </c>
      <c r="X126" s="64"/>
      <c r="AB126" t="s">
        <v>269</v>
      </c>
      <c r="AC126" s="64">
        <v>1.8E-3</v>
      </c>
    </row>
    <row r="127" spans="17:29" x14ac:dyDescent="0.2">
      <c r="Q127" t="s">
        <v>258</v>
      </c>
      <c r="R127" s="64">
        <v>5.0000000000000001E-4</v>
      </c>
      <c r="V127" t="s">
        <v>279</v>
      </c>
      <c r="W127" s="64">
        <v>1.5E-3</v>
      </c>
      <c r="X127" s="64"/>
      <c r="AB127" t="s">
        <v>258</v>
      </c>
      <c r="AC127" s="64">
        <v>1.6000000000000001E-3</v>
      </c>
    </row>
    <row r="128" spans="17:29" x14ac:dyDescent="0.2">
      <c r="Q128" t="s">
        <v>1130</v>
      </c>
      <c r="R128" s="64">
        <v>4.0000000000000002E-4</v>
      </c>
      <c r="V128" t="s">
        <v>258</v>
      </c>
      <c r="W128" s="64">
        <v>1.2999999999999999E-3</v>
      </c>
      <c r="X128" s="64"/>
      <c r="AB128" t="s">
        <v>1123</v>
      </c>
      <c r="AC128" s="64">
        <v>1.5E-3</v>
      </c>
    </row>
    <row r="129" spans="17:29" x14ac:dyDescent="0.2">
      <c r="Q129" t="s">
        <v>1129</v>
      </c>
      <c r="R129" s="64">
        <v>4.0000000000000002E-4</v>
      </c>
      <c r="V129" t="s">
        <v>1123</v>
      </c>
      <c r="W129" s="64">
        <v>1.1999999999999999E-3</v>
      </c>
      <c r="X129" s="64"/>
      <c r="AB129" t="s">
        <v>290</v>
      </c>
      <c r="AC129" s="64">
        <v>1.2999999999999999E-3</v>
      </c>
    </row>
    <row r="130" spans="17:29" x14ac:dyDescent="0.2">
      <c r="Q130" t="s">
        <v>556</v>
      </c>
      <c r="R130" s="64">
        <v>4.0000000000000002E-4</v>
      </c>
      <c r="V130" t="s">
        <v>294</v>
      </c>
      <c r="W130" s="64">
        <v>1.1999999999999999E-3</v>
      </c>
      <c r="X130" s="64"/>
      <c r="AB130" t="s">
        <v>260</v>
      </c>
      <c r="AC130" s="64">
        <v>1.1999999999999999E-3</v>
      </c>
    </row>
    <row r="131" spans="17:29" x14ac:dyDescent="0.2">
      <c r="Q131" t="s">
        <v>260</v>
      </c>
      <c r="R131" s="64">
        <v>4.0000000000000002E-4</v>
      </c>
      <c r="V131" t="s">
        <v>1128</v>
      </c>
      <c r="W131" s="64">
        <v>1.1000000000000001E-3</v>
      </c>
      <c r="X131" s="64"/>
      <c r="AB131" t="s">
        <v>294</v>
      </c>
      <c r="AC131" s="64">
        <v>6.9999999999999999E-4</v>
      </c>
    </row>
    <row r="132" spans="17:29" x14ac:dyDescent="0.2">
      <c r="Q132" t="s">
        <v>555</v>
      </c>
      <c r="R132" s="64">
        <v>2.9999999999999997E-4</v>
      </c>
      <c r="V132" t="s">
        <v>298</v>
      </c>
      <c r="W132" s="64">
        <v>8.0000000000000004E-4</v>
      </c>
      <c r="X132" s="64"/>
      <c r="AB132" t="s">
        <v>265</v>
      </c>
      <c r="AC132" s="64">
        <v>5.9999999999999995E-4</v>
      </c>
    </row>
    <row r="133" spans="17:29" x14ac:dyDescent="0.2">
      <c r="Q133" t="s">
        <v>267</v>
      </c>
      <c r="R133" s="64">
        <v>2.9999999999999997E-4</v>
      </c>
      <c r="V133" t="s">
        <v>297</v>
      </c>
      <c r="W133" s="64">
        <v>6.9999999999999999E-4</v>
      </c>
      <c r="X133" s="64"/>
      <c r="AB133" t="s">
        <v>267</v>
      </c>
      <c r="AC133" s="64">
        <v>5.0000000000000001E-4</v>
      </c>
    </row>
    <row r="134" spans="17:29" x14ac:dyDescent="0.2">
      <c r="Q134" t="s">
        <v>1127</v>
      </c>
      <c r="R134" s="64">
        <v>2.0000000000000001E-4</v>
      </c>
      <c r="V134" t="s">
        <v>556</v>
      </c>
      <c r="W134" s="64">
        <v>5.0000000000000001E-4</v>
      </c>
      <c r="X134" s="64"/>
      <c r="AB134" t="s">
        <v>288</v>
      </c>
      <c r="AC134" s="64">
        <v>2.9999999999999997E-4</v>
      </c>
    </row>
    <row r="135" spans="17:29" x14ac:dyDescent="0.2">
      <c r="Q135" t="s">
        <v>1126</v>
      </c>
      <c r="R135" s="64">
        <v>2.0000000000000001E-4</v>
      </c>
      <c r="V135" t="s">
        <v>265</v>
      </c>
      <c r="W135" s="64">
        <v>5.0000000000000001E-4</v>
      </c>
      <c r="X135" s="64"/>
      <c r="AB135" t="s">
        <v>270</v>
      </c>
      <c r="AC135" s="64">
        <v>2.9999999999999997E-4</v>
      </c>
    </row>
    <row r="136" spans="17:29" x14ac:dyDescent="0.2">
      <c r="Q136" t="s">
        <v>288</v>
      </c>
      <c r="R136" s="64">
        <v>2.0000000000000001E-4</v>
      </c>
      <c r="V136" t="s">
        <v>288</v>
      </c>
      <c r="W136" s="64">
        <v>2.9999999999999997E-4</v>
      </c>
      <c r="X136" s="64"/>
      <c r="AB136" t="s">
        <v>266</v>
      </c>
      <c r="AC136" s="64">
        <v>2.0000000000000001E-4</v>
      </c>
    </row>
    <row r="137" spans="17:29" x14ac:dyDescent="0.2">
      <c r="Q137" t="s">
        <v>1125</v>
      </c>
      <c r="R137" s="64">
        <v>2.0000000000000001E-4</v>
      </c>
      <c r="V137" t="s">
        <v>1124</v>
      </c>
      <c r="W137" s="64">
        <v>2.9999999999999997E-4</v>
      </c>
      <c r="X137" s="64"/>
      <c r="AB137" t="s">
        <v>282</v>
      </c>
      <c r="AC137" s="64">
        <v>1E-4</v>
      </c>
    </row>
    <row r="138" spans="17:29" x14ac:dyDescent="0.2">
      <c r="Q138" t="s">
        <v>1123</v>
      </c>
      <c r="R138" s="64">
        <v>1E-4</v>
      </c>
      <c r="V138" t="s">
        <v>267</v>
      </c>
      <c r="W138" s="64">
        <v>2.9999999999999997E-4</v>
      </c>
      <c r="X138" s="64"/>
    </row>
    <row r="139" spans="17:29" x14ac:dyDescent="0.2">
      <c r="Q139" t="s">
        <v>1122</v>
      </c>
      <c r="R139" s="64">
        <v>1E-4</v>
      </c>
      <c r="V139" t="s">
        <v>266</v>
      </c>
      <c r="W139" s="64">
        <v>2.9999999999999997E-4</v>
      </c>
      <c r="X139" s="64"/>
    </row>
    <row r="140" spans="17:29" x14ac:dyDescent="0.2">
      <c r="Q140" t="s">
        <v>265</v>
      </c>
      <c r="R140" s="64">
        <v>1E-4</v>
      </c>
      <c r="V140" t="s">
        <v>555</v>
      </c>
      <c r="W140" s="64">
        <v>2.0000000000000001E-4</v>
      </c>
      <c r="X140" s="64"/>
    </row>
    <row r="141" spans="17:29" x14ac:dyDescent="0.2">
      <c r="Q141" t="s">
        <v>1121</v>
      </c>
      <c r="R141" s="64">
        <v>0</v>
      </c>
      <c r="V141" t="s">
        <v>1120</v>
      </c>
      <c r="W141" s="64">
        <v>1E-4</v>
      </c>
      <c r="X141" s="64"/>
    </row>
    <row r="142" spans="17:29" x14ac:dyDescent="0.2">
      <c r="Q142" t="s">
        <v>1119</v>
      </c>
      <c r="R142" s="64">
        <v>0</v>
      </c>
      <c r="V142" t="s">
        <v>270</v>
      </c>
      <c r="W142" s="64">
        <v>0</v>
      </c>
      <c r="X142" s="64"/>
    </row>
    <row r="143" spans="17:29" x14ac:dyDescent="0.2">
      <c r="Q143" t="s">
        <v>1118</v>
      </c>
      <c r="R143" s="64">
        <v>0</v>
      </c>
    </row>
    <row r="144" spans="17:29" x14ac:dyDescent="0.2">
      <c r="Q144" t="s">
        <v>269</v>
      </c>
      <c r="R144" s="64">
        <v>0</v>
      </c>
    </row>
  </sheetData>
  <phoneticPr fontId="2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B82F3-32D7-4D8F-A191-07373ABD1E75}">
  <sheetPr>
    <tabColor theme="9"/>
  </sheetPr>
  <dimension ref="C5:AG138"/>
  <sheetViews>
    <sheetView topLeftCell="A61" workbookViewId="0"/>
  </sheetViews>
  <sheetFormatPr defaultRowHeight="12.75" x14ac:dyDescent="0.2"/>
  <cols>
    <col min="1" max="2" width="9.140625" style="409"/>
    <col min="3" max="3" width="18.5703125" style="409" customWidth="1"/>
    <col min="4" max="4" width="13.140625" style="409" customWidth="1"/>
    <col min="5" max="6" width="9.140625" style="409"/>
    <col min="7" max="7" width="13.42578125" style="409" customWidth="1"/>
    <col min="8" max="18" width="9.140625" style="409"/>
    <col min="19" max="19" width="10" style="409" bestFit="1" customWidth="1"/>
    <col min="20" max="20" width="10.5703125" style="409" bestFit="1" customWidth="1"/>
    <col min="21" max="23" width="9.140625" style="409"/>
    <col min="24" max="24" width="11.28515625" style="409" bestFit="1" customWidth="1"/>
    <col min="25" max="25" width="9.140625" style="409"/>
    <col min="26" max="26" width="10.5703125" style="409" bestFit="1" customWidth="1"/>
    <col min="27" max="16384" width="9.140625" style="409"/>
  </cols>
  <sheetData>
    <row r="5" spans="3:31" x14ac:dyDescent="0.2">
      <c r="C5" s="430" t="s">
        <v>1225</v>
      </c>
      <c r="D5" s="430" t="s">
        <v>1226</v>
      </c>
      <c r="E5" s="431"/>
      <c r="F5" s="431"/>
      <c r="G5" s="431"/>
      <c r="H5" s="431"/>
      <c r="I5" s="431"/>
      <c r="J5" s="431"/>
      <c r="K5" s="431"/>
      <c r="L5" s="431"/>
      <c r="M5" s="431"/>
      <c r="N5" s="431"/>
      <c r="O5" s="431"/>
      <c r="P5" s="431"/>
      <c r="Q5" s="431"/>
      <c r="R5" s="431"/>
      <c r="S5" s="431"/>
      <c r="T5" s="431"/>
      <c r="U5" s="431"/>
      <c r="V5" s="431"/>
      <c r="W5" s="431"/>
      <c r="X5" s="431"/>
      <c r="Y5" s="431"/>
      <c r="Z5" s="431"/>
      <c r="AA5" s="431"/>
      <c r="AB5" s="431"/>
      <c r="AC5" s="431"/>
      <c r="AD5" s="431"/>
      <c r="AE5" s="431"/>
    </row>
    <row r="6" spans="3:31" x14ac:dyDescent="0.2">
      <c r="C6" s="408"/>
      <c r="D6" s="408" t="s">
        <v>1227</v>
      </c>
    </row>
    <row r="8" spans="3:31" x14ac:dyDescent="0.2">
      <c r="R8" s="408" t="s">
        <v>1227</v>
      </c>
    </row>
    <row r="10" spans="3:31" x14ac:dyDescent="0.2">
      <c r="S10" s="409" t="s">
        <v>492</v>
      </c>
      <c r="T10" s="409" t="s">
        <v>1228</v>
      </c>
      <c r="U10" s="409" t="s">
        <v>1229</v>
      </c>
      <c r="V10" s="409" t="s">
        <v>1230</v>
      </c>
      <c r="W10" s="409" t="s">
        <v>1231</v>
      </c>
      <c r="X10" s="409" t="s">
        <v>1232</v>
      </c>
      <c r="Y10" s="409" t="s">
        <v>1068</v>
      </c>
      <c r="Z10" s="409" t="s">
        <v>1233</v>
      </c>
      <c r="AA10" s="409" t="s">
        <v>1234</v>
      </c>
      <c r="AB10" s="409" t="s">
        <v>1235</v>
      </c>
    </row>
    <row r="11" spans="3:31" x14ac:dyDescent="0.2">
      <c r="R11" s="409" t="s">
        <v>1236</v>
      </c>
      <c r="S11" s="409">
        <v>1150</v>
      </c>
      <c r="AB11" s="409">
        <v>50</v>
      </c>
      <c r="AD11" s="408">
        <f>SUM(S11:AB11)</f>
        <v>1200</v>
      </c>
    </row>
    <row r="12" spans="3:31" x14ac:dyDescent="0.2">
      <c r="R12" s="409" t="s">
        <v>159</v>
      </c>
      <c r="S12" s="409">
        <v>1180</v>
      </c>
      <c r="U12" s="409">
        <v>610</v>
      </c>
      <c r="V12" s="409">
        <v>60</v>
      </c>
      <c r="W12" s="409">
        <v>120</v>
      </c>
      <c r="AB12" s="409">
        <v>450</v>
      </c>
    </row>
    <row r="13" spans="3:31" x14ac:dyDescent="0.2">
      <c r="R13" s="409" t="s">
        <v>158</v>
      </c>
      <c r="S13" s="409">
        <v>1500</v>
      </c>
      <c r="U13" s="409">
        <v>1270</v>
      </c>
      <c r="V13" s="409">
        <v>150</v>
      </c>
      <c r="AB13" s="409">
        <v>2250</v>
      </c>
    </row>
    <row r="14" spans="3:31" x14ac:dyDescent="0.2">
      <c r="R14" s="409" t="s">
        <v>1237</v>
      </c>
      <c r="S14" s="409">
        <v>2850</v>
      </c>
      <c r="Y14" s="409">
        <v>3800</v>
      </c>
    </row>
    <row r="15" spans="3:31" x14ac:dyDescent="0.2">
      <c r="R15" s="409" t="s">
        <v>1238</v>
      </c>
      <c r="S15" s="409">
        <v>2900</v>
      </c>
      <c r="U15" s="409">
        <v>400</v>
      </c>
      <c r="V15" s="409">
        <v>780</v>
      </c>
      <c r="AB15" s="409">
        <v>6050</v>
      </c>
      <c r="AD15" s="408">
        <f>SUM(S15:AB15)</f>
        <v>10130</v>
      </c>
    </row>
    <row r="16" spans="3:31" x14ac:dyDescent="0.2">
      <c r="R16" s="409" t="s">
        <v>1239</v>
      </c>
      <c r="S16" s="409">
        <v>8000</v>
      </c>
      <c r="U16" s="409">
        <v>210</v>
      </c>
      <c r="V16" s="409">
        <v>780</v>
      </c>
      <c r="AB16" s="409">
        <v>6125</v>
      </c>
      <c r="AD16" s="408">
        <f>SUM(S16:AB16)</f>
        <v>15115</v>
      </c>
    </row>
    <row r="44" spans="18:31" x14ac:dyDescent="0.2">
      <c r="R44" s="408" t="s">
        <v>1240</v>
      </c>
    </row>
    <row r="47" spans="18:31" x14ac:dyDescent="0.2">
      <c r="S47" s="409" t="s">
        <v>495</v>
      </c>
      <c r="T47" s="409" t="s">
        <v>491</v>
      </c>
      <c r="U47" s="409" t="s">
        <v>490</v>
      </c>
      <c r="V47" s="409" t="s">
        <v>494</v>
      </c>
      <c r="W47" s="409" t="s">
        <v>496</v>
      </c>
      <c r="X47" s="409" t="s">
        <v>60</v>
      </c>
      <c r="AA47" s="409" t="s">
        <v>495</v>
      </c>
      <c r="AB47" s="409" t="s">
        <v>491</v>
      </c>
      <c r="AC47" s="409" t="s">
        <v>490</v>
      </c>
      <c r="AD47" s="409" t="s">
        <v>494</v>
      </c>
      <c r="AE47" s="409" t="s">
        <v>496</v>
      </c>
    </row>
    <row r="48" spans="18:31" x14ac:dyDescent="0.2">
      <c r="R48" s="409" t="s">
        <v>1236</v>
      </c>
      <c r="S48" s="409">
        <f t="shared" ref="S48:W53" si="0">AA48*1000</f>
        <v>26500</v>
      </c>
      <c r="T48" s="409">
        <f t="shared" si="0"/>
        <v>1000</v>
      </c>
      <c r="U48" s="409">
        <f t="shared" si="0"/>
        <v>6400</v>
      </c>
      <c r="V48" s="409">
        <f t="shared" si="0"/>
        <v>3400</v>
      </c>
      <c r="W48" s="409">
        <f t="shared" si="0"/>
        <v>0</v>
      </c>
      <c r="X48" s="432">
        <f>SUM(S48:W48)</f>
        <v>37300</v>
      </c>
      <c r="Z48" s="409" t="s">
        <v>1236</v>
      </c>
      <c r="AA48" s="409">
        <v>26.5</v>
      </c>
      <c r="AB48" s="409">
        <v>1</v>
      </c>
      <c r="AC48" s="409">
        <v>6.4</v>
      </c>
      <c r="AD48" s="409">
        <v>3.4</v>
      </c>
    </row>
    <row r="49" spans="18:31" x14ac:dyDescent="0.2">
      <c r="R49" s="409" t="s">
        <v>159</v>
      </c>
      <c r="S49" s="409">
        <f t="shared" si="0"/>
        <v>68000</v>
      </c>
      <c r="T49" s="409">
        <f t="shared" si="0"/>
        <v>800</v>
      </c>
      <c r="U49" s="409">
        <f t="shared" si="0"/>
        <v>35500</v>
      </c>
      <c r="V49" s="409">
        <f t="shared" si="0"/>
        <v>0</v>
      </c>
      <c r="W49" s="409">
        <f t="shared" si="0"/>
        <v>0</v>
      </c>
      <c r="X49" s="432">
        <f t="shared" ref="X49:X53" si="1">SUM(S49:W49)</f>
        <v>104300</v>
      </c>
      <c r="Z49" s="409" t="s">
        <v>159</v>
      </c>
      <c r="AA49" s="409">
        <v>68</v>
      </c>
      <c r="AB49" s="409">
        <v>0.8</v>
      </c>
      <c r="AC49" s="409">
        <v>35.5</v>
      </c>
    </row>
    <row r="50" spans="18:31" x14ac:dyDescent="0.2">
      <c r="R50" s="409" t="s">
        <v>158</v>
      </c>
      <c r="S50" s="409">
        <f t="shared" si="0"/>
        <v>61000</v>
      </c>
      <c r="T50" s="409">
        <f t="shared" si="0"/>
        <v>0</v>
      </c>
      <c r="U50" s="409">
        <f t="shared" si="0"/>
        <v>74500</v>
      </c>
      <c r="V50" s="409">
        <f t="shared" si="0"/>
        <v>0</v>
      </c>
      <c r="W50" s="409">
        <f t="shared" si="0"/>
        <v>0</v>
      </c>
      <c r="X50" s="432">
        <f t="shared" si="1"/>
        <v>135500</v>
      </c>
      <c r="Z50" s="409" t="s">
        <v>158</v>
      </c>
      <c r="AA50" s="409">
        <v>61</v>
      </c>
      <c r="AC50" s="409">
        <v>74.5</v>
      </c>
    </row>
    <row r="51" spans="18:31" x14ac:dyDescent="0.2">
      <c r="R51" s="409" t="s">
        <v>1237</v>
      </c>
      <c r="S51" s="409">
        <f t="shared" si="0"/>
        <v>62000</v>
      </c>
      <c r="T51" s="409">
        <f t="shared" si="0"/>
        <v>19000</v>
      </c>
      <c r="U51" s="409">
        <f t="shared" si="0"/>
        <v>7500</v>
      </c>
      <c r="V51" s="409">
        <f t="shared" si="0"/>
        <v>7200</v>
      </c>
      <c r="W51" s="409">
        <f t="shared" si="0"/>
        <v>46000</v>
      </c>
      <c r="X51" s="432">
        <f t="shared" si="1"/>
        <v>141700</v>
      </c>
      <c r="Z51" s="409" t="s">
        <v>1237</v>
      </c>
      <c r="AA51" s="409">
        <v>62</v>
      </c>
      <c r="AB51" s="409">
        <v>19</v>
      </c>
      <c r="AC51" s="409">
        <v>7.5</v>
      </c>
      <c r="AD51" s="409">
        <v>7.2</v>
      </c>
      <c r="AE51" s="409">
        <v>46</v>
      </c>
    </row>
    <row r="52" spans="18:31" x14ac:dyDescent="0.2">
      <c r="R52" s="409" t="s">
        <v>1238</v>
      </c>
      <c r="S52" s="409">
        <f t="shared" si="0"/>
        <v>131000</v>
      </c>
      <c r="T52" s="409">
        <f t="shared" si="0"/>
        <v>0</v>
      </c>
      <c r="U52" s="409">
        <f t="shared" si="0"/>
        <v>49500</v>
      </c>
      <c r="V52" s="409">
        <f t="shared" si="0"/>
        <v>0</v>
      </c>
      <c r="W52" s="409">
        <f t="shared" si="0"/>
        <v>8000</v>
      </c>
      <c r="X52" s="432">
        <f t="shared" si="1"/>
        <v>188500</v>
      </c>
      <c r="Z52" s="409" t="s">
        <v>1238</v>
      </c>
      <c r="AA52" s="409">
        <v>131</v>
      </c>
      <c r="AC52" s="409">
        <v>49.5</v>
      </c>
      <c r="AE52" s="409">
        <v>8</v>
      </c>
    </row>
    <row r="53" spans="18:31" x14ac:dyDescent="0.2">
      <c r="R53" s="409" t="s">
        <v>1239</v>
      </c>
      <c r="S53" s="409">
        <f t="shared" si="0"/>
        <v>0</v>
      </c>
      <c r="T53" s="409">
        <f t="shared" si="0"/>
        <v>0</v>
      </c>
      <c r="U53" s="409">
        <f t="shared" si="0"/>
        <v>0</v>
      </c>
      <c r="V53" s="409">
        <f t="shared" si="0"/>
        <v>0</v>
      </c>
      <c r="W53" s="409">
        <f t="shared" si="0"/>
        <v>0</v>
      </c>
      <c r="X53" s="432">
        <f t="shared" si="1"/>
        <v>0</v>
      </c>
      <c r="Z53" s="409" t="s">
        <v>1239</v>
      </c>
    </row>
    <row r="78" spans="4:4" x14ac:dyDescent="0.2">
      <c r="D78" s="408" t="s">
        <v>1241</v>
      </c>
    </row>
    <row r="81" spans="18:28" x14ac:dyDescent="0.2">
      <c r="S81" s="409" t="s">
        <v>492</v>
      </c>
      <c r="T81" s="409" t="s">
        <v>1228</v>
      </c>
      <c r="U81" s="409" t="s">
        <v>1229</v>
      </c>
      <c r="V81" s="409" t="s">
        <v>1230</v>
      </c>
      <c r="W81" s="409" t="s">
        <v>1231</v>
      </c>
      <c r="X81" s="409" t="s">
        <v>1232</v>
      </c>
      <c r="Y81" s="409" t="s">
        <v>1068</v>
      </c>
      <c r="Z81" s="409" t="s">
        <v>1233</v>
      </c>
      <c r="AA81" s="409" t="s">
        <v>1234</v>
      </c>
      <c r="AB81" s="409" t="s">
        <v>1235</v>
      </c>
    </row>
    <row r="82" spans="18:28" x14ac:dyDescent="0.2">
      <c r="R82" s="409" t="s">
        <v>1242</v>
      </c>
    </row>
    <row r="83" spans="18:28" x14ac:dyDescent="0.2">
      <c r="R83" s="409" t="s">
        <v>1243</v>
      </c>
    </row>
    <row r="84" spans="18:28" x14ac:dyDescent="0.2">
      <c r="R84" s="409" t="s">
        <v>1244</v>
      </c>
      <c r="S84" s="409">
        <v>30</v>
      </c>
    </row>
    <row r="85" spans="18:28" x14ac:dyDescent="0.2">
      <c r="R85" s="409" t="s">
        <v>1245</v>
      </c>
      <c r="S85" s="409">
        <v>440</v>
      </c>
    </row>
    <row r="91" spans="18:28" x14ac:dyDescent="0.2">
      <c r="V91" s="409" t="s">
        <v>1246</v>
      </c>
    </row>
    <row r="97" spans="16:33" x14ac:dyDescent="0.2">
      <c r="S97" s="409" t="s">
        <v>495</v>
      </c>
      <c r="T97" s="409" t="s">
        <v>491</v>
      </c>
      <c r="U97" s="409" t="s">
        <v>490</v>
      </c>
      <c r="V97" s="409" t="s">
        <v>494</v>
      </c>
      <c r="W97" s="409" t="s">
        <v>496</v>
      </c>
    </row>
    <row r="98" spans="16:33" x14ac:dyDescent="0.2">
      <c r="R98" s="409" t="s">
        <v>1242</v>
      </c>
      <c r="S98" s="409">
        <v>78</v>
      </c>
    </row>
    <row r="99" spans="16:33" x14ac:dyDescent="0.2">
      <c r="R99" s="409" t="s">
        <v>1243</v>
      </c>
      <c r="S99" s="409">
        <v>66</v>
      </c>
      <c r="T99" s="409">
        <v>11</v>
      </c>
    </row>
    <row r="100" spans="16:33" x14ac:dyDescent="0.2">
      <c r="R100" s="409" t="s">
        <v>1244</v>
      </c>
    </row>
    <row r="101" spans="16:33" x14ac:dyDescent="0.2">
      <c r="R101" s="409" t="s">
        <v>1245</v>
      </c>
    </row>
    <row r="109" spans="16:33" x14ac:dyDescent="0.2">
      <c r="P109" s="408" t="s">
        <v>1227</v>
      </c>
      <c r="AB109" s="408" t="s">
        <v>1247</v>
      </c>
    </row>
    <row r="110" spans="16:33" x14ac:dyDescent="0.2">
      <c r="P110" s="433" t="s">
        <v>1248</v>
      </c>
      <c r="Q110" s="434" t="s">
        <v>1249</v>
      </c>
      <c r="R110" s="434" t="s">
        <v>1228</v>
      </c>
      <c r="S110" s="434" t="s">
        <v>1250</v>
      </c>
      <c r="T110" s="434" t="s">
        <v>1251</v>
      </c>
      <c r="U110" s="434" t="s">
        <v>1252</v>
      </c>
      <c r="V110" s="434" t="s">
        <v>1253</v>
      </c>
      <c r="W110" s="434" t="s">
        <v>1254</v>
      </c>
      <c r="X110" s="434" t="s">
        <v>1255</v>
      </c>
      <c r="Y110" s="434" t="s">
        <v>1256</v>
      </c>
      <c r="Z110" s="434" t="s">
        <v>1257</v>
      </c>
      <c r="AA110" s="434" t="s">
        <v>221</v>
      </c>
      <c r="AB110" s="434" t="s">
        <v>495</v>
      </c>
      <c r="AC110" s="434" t="s">
        <v>1258</v>
      </c>
      <c r="AD110" s="434" t="s">
        <v>1259</v>
      </c>
      <c r="AE110" s="434" t="s">
        <v>1260</v>
      </c>
      <c r="AF110" s="434" t="s">
        <v>496</v>
      </c>
      <c r="AG110" s="435"/>
    </row>
    <row r="111" spans="16:33" x14ac:dyDescent="0.2">
      <c r="P111" s="436"/>
      <c r="Q111" s="437" t="s">
        <v>1261</v>
      </c>
      <c r="R111" s="437" t="s">
        <v>1262</v>
      </c>
      <c r="S111" s="437" t="s">
        <v>1263</v>
      </c>
      <c r="T111" s="437" t="s">
        <v>1264</v>
      </c>
      <c r="U111" s="437" t="s">
        <v>1265</v>
      </c>
      <c r="V111" s="437" t="s">
        <v>1266</v>
      </c>
      <c r="W111" s="437" t="s">
        <v>1267</v>
      </c>
      <c r="X111" s="437" t="s">
        <v>1268</v>
      </c>
      <c r="Y111" s="437"/>
      <c r="Z111" s="437"/>
      <c r="AA111" s="437"/>
      <c r="AB111" s="437"/>
      <c r="AC111" s="437"/>
      <c r="AD111" s="437"/>
      <c r="AE111" s="437"/>
      <c r="AF111" s="437"/>
      <c r="AG111" s="438"/>
    </row>
    <row r="112" spans="16:33" x14ac:dyDescent="0.2">
      <c r="P112" s="436" t="s">
        <v>1269</v>
      </c>
      <c r="Q112" s="437"/>
      <c r="R112" s="437"/>
      <c r="S112" s="437"/>
      <c r="T112" s="437"/>
      <c r="U112" s="437"/>
      <c r="V112" s="437"/>
      <c r="W112" s="437"/>
      <c r="X112" s="437"/>
      <c r="Y112" s="437"/>
      <c r="Z112" s="437"/>
      <c r="AA112" s="437"/>
      <c r="AB112" s="437">
        <v>9500</v>
      </c>
      <c r="AC112" s="437">
        <v>2400</v>
      </c>
      <c r="AD112" s="437"/>
      <c r="AE112" s="437">
        <v>300</v>
      </c>
      <c r="AF112" s="437">
        <v>190</v>
      </c>
      <c r="AG112" s="438">
        <v>12490</v>
      </c>
    </row>
    <row r="113" spans="4:33" x14ac:dyDescent="0.2">
      <c r="P113" s="436" t="s">
        <v>1270</v>
      </c>
      <c r="Q113" s="437"/>
      <c r="R113" s="437"/>
      <c r="S113" s="437"/>
      <c r="T113" s="437"/>
      <c r="U113" s="437"/>
      <c r="V113" s="437"/>
      <c r="W113" s="437"/>
      <c r="X113" s="437"/>
      <c r="Y113" s="437"/>
      <c r="Z113" s="437"/>
      <c r="AA113" s="437"/>
      <c r="AB113" s="437">
        <v>10100</v>
      </c>
      <c r="AC113" s="437">
        <v>2200</v>
      </c>
      <c r="AD113" s="437"/>
      <c r="AE113" s="437">
        <v>400</v>
      </c>
      <c r="AF113" s="437">
        <v>200</v>
      </c>
      <c r="AG113" s="438">
        <v>12900</v>
      </c>
    </row>
    <row r="114" spans="4:33" x14ac:dyDescent="0.2">
      <c r="P114" s="439" t="s">
        <v>1271</v>
      </c>
      <c r="Q114" s="437"/>
      <c r="R114" s="437"/>
      <c r="S114" s="437"/>
      <c r="T114" s="437"/>
      <c r="U114" s="437"/>
      <c r="V114" s="437"/>
      <c r="W114" s="437"/>
      <c r="X114" s="437"/>
      <c r="Y114" s="437"/>
      <c r="Z114" s="437"/>
      <c r="AA114" s="437"/>
      <c r="AB114" s="437">
        <v>1000</v>
      </c>
      <c r="AC114" s="437">
        <v>2000</v>
      </c>
      <c r="AD114" s="437"/>
      <c r="AE114" s="437">
        <v>200</v>
      </c>
      <c r="AF114" s="437">
        <v>50</v>
      </c>
      <c r="AG114" s="438">
        <v>1450</v>
      </c>
    </row>
    <row r="115" spans="4:33" x14ac:dyDescent="0.2">
      <c r="P115" s="436" t="s">
        <v>1272</v>
      </c>
      <c r="Q115" s="437"/>
      <c r="R115" s="437"/>
      <c r="S115" s="437"/>
      <c r="T115" s="437"/>
      <c r="U115" s="437"/>
      <c r="V115" s="437"/>
      <c r="W115" s="437"/>
      <c r="X115" s="437"/>
      <c r="Y115" s="437"/>
      <c r="Z115" s="437"/>
      <c r="AA115" s="437"/>
      <c r="AB115" s="437">
        <v>800</v>
      </c>
      <c r="AC115" s="437">
        <v>200</v>
      </c>
      <c r="AD115" s="437"/>
      <c r="AE115" s="437">
        <v>300</v>
      </c>
      <c r="AF115" s="437">
        <v>50</v>
      </c>
      <c r="AG115" s="438">
        <v>1450</v>
      </c>
    </row>
    <row r="116" spans="4:33" x14ac:dyDescent="0.2">
      <c r="P116" s="436"/>
      <c r="Q116" s="437"/>
      <c r="R116" s="437"/>
      <c r="S116" s="437"/>
      <c r="T116" s="437"/>
      <c r="U116" s="437"/>
      <c r="V116" s="437"/>
      <c r="W116" s="437"/>
      <c r="X116" s="437"/>
      <c r="Y116" s="437"/>
      <c r="Z116" s="437"/>
      <c r="AA116" s="437"/>
      <c r="AB116" s="437"/>
      <c r="AC116" s="437"/>
      <c r="AD116" s="437"/>
      <c r="AE116" s="437"/>
      <c r="AF116" s="437"/>
      <c r="AG116" s="438"/>
    </row>
    <row r="117" spans="4:33" x14ac:dyDescent="0.2">
      <c r="P117" s="440" t="s">
        <v>1273</v>
      </c>
      <c r="Q117" s="437"/>
      <c r="R117" s="437"/>
      <c r="S117" s="437"/>
      <c r="T117" s="437"/>
      <c r="U117" s="437"/>
      <c r="V117" s="437"/>
      <c r="W117" s="437"/>
      <c r="X117" s="437"/>
      <c r="Y117" s="437"/>
      <c r="Z117" s="437"/>
      <c r="AA117" s="437"/>
      <c r="AB117" s="437"/>
      <c r="AC117" s="437"/>
      <c r="AD117" s="437"/>
      <c r="AE117" s="437"/>
      <c r="AF117" s="437"/>
      <c r="AG117" s="438"/>
    </row>
    <row r="118" spans="4:33" x14ac:dyDescent="0.2">
      <c r="P118" s="436" t="s">
        <v>1274</v>
      </c>
      <c r="Q118" s="437"/>
      <c r="R118" s="437"/>
      <c r="S118" s="437"/>
      <c r="T118" s="437"/>
      <c r="U118" s="437"/>
      <c r="V118" s="437"/>
      <c r="W118" s="437"/>
      <c r="X118" s="437"/>
      <c r="Y118" s="437"/>
      <c r="Z118" s="437"/>
      <c r="AA118" s="437"/>
      <c r="AB118" s="437">
        <v>6850</v>
      </c>
      <c r="AC118" s="437">
        <v>50</v>
      </c>
      <c r="AD118" s="437"/>
      <c r="AE118" s="437"/>
      <c r="AF118" s="437"/>
      <c r="AG118" s="438">
        <v>7000</v>
      </c>
    </row>
    <row r="119" spans="4:33" x14ac:dyDescent="0.2">
      <c r="P119" s="436" t="s">
        <v>1275</v>
      </c>
      <c r="Q119" s="437"/>
      <c r="R119" s="437"/>
      <c r="S119" s="437"/>
      <c r="T119" s="437"/>
      <c r="U119" s="437"/>
      <c r="V119" s="437"/>
      <c r="W119" s="437"/>
      <c r="X119" s="437"/>
      <c r="Y119" s="437"/>
      <c r="Z119" s="437"/>
      <c r="AA119" s="437"/>
      <c r="AB119" s="437">
        <v>3340</v>
      </c>
      <c r="AC119" s="437">
        <v>100</v>
      </c>
      <c r="AD119" s="437"/>
      <c r="AE119" s="437"/>
      <c r="AF119" s="437"/>
      <c r="AG119" s="438">
        <v>3440</v>
      </c>
    </row>
    <row r="120" spans="4:33" x14ac:dyDescent="0.2">
      <c r="P120" s="436" t="s">
        <v>1276</v>
      </c>
      <c r="Q120" s="437"/>
      <c r="R120" s="437"/>
      <c r="S120" s="437"/>
      <c r="T120" s="437"/>
      <c r="U120" s="437"/>
      <c r="V120" s="437"/>
      <c r="W120" s="437"/>
      <c r="X120" s="437"/>
      <c r="Y120" s="437"/>
      <c r="Z120" s="437"/>
      <c r="AA120" s="437"/>
      <c r="AB120" s="437"/>
      <c r="AC120" s="437">
        <v>100</v>
      </c>
      <c r="AD120" s="437">
        <v>8100</v>
      </c>
      <c r="AE120" s="437"/>
      <c r="AF120" s="437"/>
      <c r="AG120" s="438">
        <v>8200</v>
      </c>
    </row>
    <row r="121" spans="4:33" x14ac:dyDescent="0.2">
      <c r="D121" s="409" t="s">
        <v>1277</v>
      </c>
      <c r="P121" s="436"/>
      <c r="Q121" s="437"/>
      <c r="R121" s="437"/>
      <c r="S121" s="437"/>
      <c r="T121" s="437"/>
      <c r="U121" s="437"/>
      <c r="V121" s="437"/>
      <c r="W121" s="437"/>
      <c r="X121" s="437"/>
      <c r="Y121" s="437"/>
      <c r="Z121" s="437"/>
      <c r="AA121" s="437"/>
      <c r="AB121" s="437"/>
      <c r="AC121" s="437"/>
      <c r="AD121" s="437"/>
      <c r="AE121" s="437"/>
      <c r="AF121" s="437"/>
      <c r="AG121" s="438"/>
    </row>
    <row r="122" spans="4:33" x14ac:dyDescent="0.2">
      <c r="P122" s="440" t="s">
        <v>1278</v>
      </c>
      <c r="Q122" s="437"/>
      <c r="R122" s="437"/>
      <c r="S122" s="437"/>
      <c r="T122" s="437"/>
      <c r="U122" s="437"/>
      <c r="V122" s="437"/>
      <c r="W122" s="437"/>
      <c r="X122" s="437"/>
      <c r="Y122" s="437"/>
      <c r="Z122" s="437"/>
      <c r="AA122" s="437"/>
      <c r="AB122" s="437"/>
      <c r="AC122" s="437"/>
      <c r="AD122" s="437"/>
      <c r="AE122" s="437"/>
      <c r="AF122" s="437"/>
      <c r="AG122" s="438"/>
    </row>
    <row r="123" spans="4:33" x14ac:dyDescent="0.2">
      <c r="P123" s="436" t="s">
        <v>1239</v>
      </c>
      <c r="Q123" s="437">
        <v>7800</v>
      </c>
      <c r="R123" s="437"/>
      <c r="S123" s="437">
        <v>300</v>
      </c>
      <c r="T123" s="437">
        <v>800</v>
      </c>
      <c r="U123" s="437"/>
      <c r="V123" s="437"/>
      <c r="W123" s="437"/>
      <c r="X123" s="437"/>
      <c r="Y123" s="437"/>
      <c r="Z123" s="437">
        <v>6100</v>
      </c>
      <c r="AA123" s="437">
        <v>15100</v>
      </c>
      <c r="AB123" s="437"/>
      <c r="AC123" s="437"/>
      <c r="AD123" s="437"/>
      <c r="AE123" s="437"/>
      <c r="AF123" s="437"/>
      <c r="AG123" s="438"/>
    </row>
    <row r="124" spans="4:33" x14ac:dyDescent="0.2">
      <c r="P124" s="436" t="s">
        <v>1238</v>
      </c>
      <c r="Q124" s="437">
        <v>2800</v>
      </c>
      <c r="R124" s="437"/>
      <c r="S124" s="437">
        <v>400</v>
      </c>
      <c r="T124" s="437">
        <v>800</v>
      </c>
      <c r="U124" s="437"/>
      <c r="V124" s="437"/>
      <c r="W124" s="437"/>
      <c r="X124" s="437"/>
      <c r="Y124" s="437"/>
      <c r="Z124" s="437">
        <v>6100</v>
      </c>
      <c r="AA124" s="437">
        <v>10100</v>
      </c>
      <c r="AB124" s="437"/>
      <c r="AC124" s="437"/>
      <c r="AD124" s="437"/>
      <c r="AE124" s="437"/>
      <c r="AF124" s="437"/>
      <c r="AG124" s="438"/>
    </row>
    <row r="125" spans="4:33" x14ac:dyDescent="0.2">
      <c r="P125" s="436" t="s">
        <v>1237</v>
      </c>
      <c r="Q125" s="437">
        <v>2800</v>
      </c>
      <c r="R125" s="437"/>
      <c r="S125" s="437"/>
      <c r="T125" s="437"/>
      <c r="U125" s="437"/>
      <c r="V125" s="437"/>
      <c r="W125" s="437">
        <v>3800</v>
      </c>
      <c r="X125" s="437"/>
      <c r="Y125" s="437"/>
      <c r="Z125" s="437"/>
      <c r="AA125" s="437">
        <v>6600</v>
      </c>
      <c r="AB125" s="437"/>
      <c r="AC125" s="437"/>
      <c r="AD125" s="437"/>
      <c r="AE125" s="437"/>
      <c r="AF125" s="437"/>
      <c r="AG125" s="438"/>
    </row>
    <row r="126" spans="4:33" x14ac:dyDescent="0.2">
      <c r="P126" s="436" t="s">
        <v>1279</v>
      </c>
      <c r="Q126" s="437">
        <v>1400</v>
      </c>
      <c r="R126" s="437"/>
      <c r="S126" s="437">
        <v>1300</v>
      </c>
      <c r="T126" s="437">
        <v>100</v>
      </c>
      <c r="U126" s="437"/>
      <c r="V126" s="437"/>
      <c r="W126" s="437"/>
      <c r="X126" s="437"/>
      <c r="Y126" s="437"/>
      <c r="Z126" s="437">
        <v>2200</v>
      </c>
      <c r="AA126" s="437"/>
      <c r="AB126" s="437"/>
      <c r="AC126" s="437"/>
      <c r="AD126" s="437"/>
      <c r="AE126" s="437"/>
      <c r="AF126" s="437"/>
      <c r="AG126" s="438"/>
    </row>
    <row r="127" spans="4:33" x14ac:dyDescent="0.2">
      <c r="P127" s="436" t="s">
        <v>159</v>
      </c>
      <c r="Q127" s="437">
        <v>1200</v>
      </c>
      <c r="R127" s="437"/>
      <c r="S127" s="437">
        <v>700</v>
      </c>
      <c r="T127" s="437">
        <v>40</v>
      </c>
      <c r="U127" s="437">
        <v>100</v>
      </c>
      <c r="V127" s="437"/>
      <c r="W127" s="437"/>
      <c r="X127" s="437"/>
      <c r="Y127" s="437"/>
      <c r="Z127" s="437">
        <v>350</v>
      </c>
      <c r="AA127" s="437">
        <v>2390</v>
      </c>
      <c r="AB127" s="437"/>
      <c r="AC127" s="437"/>
      <c r="AD127" s="437"/>
      <c r="AE127" s="437"/>
      <c r="AF127" s="437"/>
      <c r="AG127" s="438"/>
    </row>
    <row r="128" spans="4:33" x14ac:dyDescent="0.2">
      <c r="P128" s="436" t="s">
        <v>1236</v>
      </c>
      <c r="Q128" s="437">
        <v>1050</v>
      </c>
      <c r="R128" s="437"/>
      <c r="S128" s="437"/>
      <c r="T128" s="437"/>
      <c r="U128" s="437"/>
      <c r="V128" s="437"/>
      <c r="W128" s="437"/>
      <c r="X128" s="437"/>
      <c r="Y128" s="437"/>
      <c r="Z128" s="437">
        <v>50</v>
      </c>
      <c r="AA128" s="437">
        <v>1100</v>
      </c>
      <c r="AB128" s="437"/>
      <c r="AC128" s="437"/>
      <c r="AD128" s="437"/>
      <c r="AE128" s="437"/>
      <c r="AF128" s="437"/>
      <c r="AG128" s="438"/>
    </row>
    <row r="129" spans="16:33" x14ac:dyDescent="0.2">
      <c r="P129" s="436"/>
      <c r="Q129" s="437"/>
      <c r="R129" s="437"/>
      <c r="S129" s="437"/>
      <c r="T129" s="437"/>
      <c r="U129" s="437"/>
      <c r="V129" s="437"/>
      <c r="W129" s="437"/>
      <c r="X129" s="437"/>
      <c r="Y129" s="437"/>
      <c r="Z129" s="437"/>
      <c r="AA129" s="437"/>
      <c r="AB129" s="437"/>
      <c r="AC129" s="437"/>
      <c r="AD129" s="437"/>
      <c r="AE129" s="437"/>
      <c r="AF129" s="437"/>
      <c r="AG129" s="438"/>
    </row>
    <row r="130" spans="16:33" x14ac:dyDescent="0.2">
      <c r="P130" s="440" t="s">
        <v>1280</v>
      </c>
      <c r="Q130" s="437"/>
      <c r="R130" s="437"/>
      <c r="S130" s="437"/>
      <c r="T130" s="437"/>
      <c r="U130" s="437"/>
      <c r="V130" s="437"/>
      <c r="W130" s="437"/>
      <c r="X130" s="437"/>
      <c r="Y130" s="437"/>
      <c r="Z130" s="437"/>
      <c r="AA130" s="437"/>
      <c r="AB130" s="437"/>
      <c r="AC130" s="437"/>
      <c r="AD130" s="437"/>
      <c r="AE130" s="437"/>
      <c r="AF130" s="437"/>
      <c r="AG130" s="438"/>
    </row>
    <row r="131" spans="16:33" x14ac:dyDescent="0.2">
      <c r="P131" s="436" t="s">
        <v>1281</v>
      </c>
      <c r="Q131" s="437">
        <v>430</v>
      </c>
      <c r="R131" s="437"/>
      <c r="S131" s="437"/>
      <c r="T131" s="437"/>
      <c r="U131" s="437"/>
      <c r="V131" s="437"/>
      <c r="W131" s="437"/>
      <c r="X131" s="437"/>
      <c r="Y131" s="437"/>
      <c r="Z131" s="437"/>
      <c r="AA131" s="437"/>
      <c r="AB131" s="437"/>
      <c r="AC131" s="437"/>
      <c r="AD131" s="437"/>
      <c r="AE131" s="437"/>
      <c r="AF131" s="437"/>
      <c r="AG131" s="438"/>
    </row>
    <row r="132" spans="16:33" x14ac:dyDescent="0.2">
      <c r="P132" s="436" t="s">
        <v>1282</v>
      </c>
      <c r="Q132" s="437">
        <v>32</v>
      </c>
      <c r="R132" s="437"/>
      <c r="S132" s="437"/>
      <c r="T132" s="437"/>
      <c r="U132" s="437"/>
      <c r="V132" s="437"/>
      <c r="W132" s="437"/>
      <c r="X132" s="437"/>
      <c r="Y132" s="437"/>
      <c r="Z132" s="437"/>
      <c r="AA132" s="437"/>
      <c r="AB132" s="437"/>
      <c r="AC132" s="437"/>
      <c r="AD132" s="437"/>
      <c r="AE132" s="437"/>
      <c r="AF132" s="437"/>
      <c r="AG132" s="438"/>
    </row>
    <row r="133" spans="16:33" x14ac:dyDescent="0.2">
      <c r="P133" s="439" t="s">
        <v>1283</v>
      </c>
      <c r="Q133" s="437"/>
      <c r="R133" s="437"/>
      <c r="S133" s="437"/>
      <c r="T133" s="437"/>
      <c r="U133" s="437"/>
      <c r="V133" s="437"/>
      <c r="W133" s="437"/>
      <c r="X133" s="437"/>
      <c r="Y133" s="437"/>
      <c r="Z133" s="437"/>
      <c r="AA133" s="437"/>
      <c r="AB133" s="437"/>
      <c r="AC133" s="437"/>
      <c r="AD133" s="437"/>
      <c r="AE133" s="437"/>
      <c r="AF133" s="437"/>
      <c r="AG133" s="438"/>
    </row>
    <row r="134" spans="16:33" x14ac:dyDescent="0.2">
      <c r="P134" s="436" t="s">
        <v>1284</v>
      </c>
      <c r="Q134" s="437"/>
      <c r="R134" s="437"/>
      <c r="S134" s="437"/>
      <c r="T134" s="437"/>
      <c r="U134" s="437"/>
      <c r="V134" s="437"/>
      <c r="W134" s="437"/>
      <c r="X134" s="437"/>
      <c r="Y134" s="437"/>
      <c r="Z134" s="437"/>
      <c r="AA134" s="437"/>
      <c r="AB134" s="437"/>
      <c r="AC134" s="437"/>
      <c r="AD134" s="437"/>
      <c r="AE134" s="437"/>
      <c r="AF134" s="437"/>
      <c r="AG134" s="438"/>
    </row>
    <row r="135" spans="16:33" x14ac:dyDescent="0.2">
      <c r="P135" s="436"/>
      <c r="Q135" s="437"/>
      <c r="R135" s="437"/>
      <c r="S135" s="437"/>
      <c r="T135" s="437"/>
      <c r="U135" s="437"/>
      <c r="V135" s="437"/>
      <c r="W135" s="437"/>
      <c r="X135" s="437"/>
      <c r="Y135" s="437"/>
      <c r="Z135" s="437"/>
      <c r="AA135" s="437"/>
      <c r="AB135" s="437"/>
      <c r="AC135" s="437"/>
      <c r="AD135" s="437"/>
      <c r="AE135" s="437"/>
      <c r="AF135" s="437"/>
      <c r="AG135" s="438"/>
    </row>
    <row r="136" spans="16:33" x14ac:dyDescent="0.2">
      <c r="P136" s="440" t="s">
        <v>1285</v>
      </c>
      <c r="Q136" s="437"/>
      <c r="R136" s="437"/>
      <c r="S136" s="437"/>
      <c r="T136" s="437"/>
      <c r="U136" s="437"/>
      <c r="V136" s="437"/>
      <c r="W136" s="437"/>
      <c r="X136" s="437"/>
      <c r="Y136" s="437"/>
      <c r="Z136" s="437"/>
      <c r="AA136" s="437"/>
      <c r="AB136" s="437"/>
      <c r="AC136" s="437"/>
      <c r="AD136" s="437"/>
      <c r="AE136" s="437"/>
      <c r="AF136" s="437"/>
      <c r="AG136" s="438"/>
    </row>
    <row r="137" spans="16:33" x14ac:dyDescent="0.2">
      <c r="P137" s="436" t="s">
        <v>1286</v>
      </c>
      <c r="Q137" s="437"/>
      <c r="R137" s="437"/>
      <c r="S137" s="437"/>
      <c r="T137" s="437"/>
      <c r="U137" s="437"/>
      <c r="V137" s="437"/>
      <c r="W137" s="437"/>
      <c r="X137" s="437"/>
      <c r="Y137" s="437"/>
      <c r="Z137" s="437"/>
      <c r="AA137" s="437"/>
      <c r="AB137" s="437"/>
      <c r="AC137" s="437"/>
      <c r="AD137" s="437"/>
      <c r="AE137" s="437"/>
      <c r="AF137" s="437"/>
      <c r="AG137" s="438"/>
    </row>
    <row r="138" spans="16:33" x14ac:dyDescent="0.2">
      <c r="P138" s="441" t="s">
        <v>1287</v>
      </c>
      <c r="Q138" s="442"/>
      <c r="R138" s="442"/>
      <c r="S138" s="442"/>
      <c r="T138" s="442"/>
      <c r="U138" s="442"/>
      <c r="V138" s="442"/>
      <c r="W138" s="442"/>
      <c r="X138" s="442"/>
      <c r="Y138" s="442"/>
      <c r="Z138" s="442"/>
      <c r="AA138" s="442"/>
      <c r="AB138" s="442"/>
      <c r="AC138" s="442"/>
      <c r="AD138" s="442"/>
      <c r="AE138" s="442"/>
      <c r="AF138" s="443"/>
      <c r="AG138" s="444"/>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66EA2-B82E-4079-BBCF-439259411DFA}">
  <sheetPr codeName="Sheet1">
    <tabColor theme="4"/>
  </sheetPr>
  <dimension ref="A1:DQ104"/>
  <sheetViews>
    <sheetView tabSelected="1" zoomScale="80" workbookViewId="0">
      <selection activeCell="U33" sqref="U33"/>
    </sheetView>
  </sheetViews>
  <sheetFormatPr defaultRowHeight="12.75" x14ac:dyDescent="0.2"/>
  <cols>
    <col min="20" max="20" width="13.7109375" customWidth="1"/>
    <col min="35" max="35" width="6.7109375" customWidth="1"/>
    <col min="36" max="36" width="6.85546875" customWidth="1"/>
    <col min="37" max="37" width="7.7109375" customWidth="1"/>
    <col min="38" max="38" width="9.28515625" customWidth="1"/>
    <col min="42" max="42" width="12.7109375" customWidth="1"/>
    <col min="43" max="43" width="11.85546875" customWidth="1"/>
  </cols>
  <sheetData>
    <row r="1" spans="1:121" ht="15" x14ac:dyDescent="0.25">
      <c r="C1" t="s">
        <v>1320</v>
      </c>
      <c r="D1" t="s">
        <v>1322</v>
      </c>
      <c r="E1" t="s">
        <v>1321</v>
      </c>
      <c r="F1" t="s">
        <v>1324</v>
      </c>
      <c r="G1" t="s">
        <v>1323</v>
      </c>
      <c r="H1" t="s">
        <v>1325</v>
      </c>
      <c r="I1" s="67" t="s">
        <v>1326</v>
      </c>
      <c r="J1" s="67" t="s">
        <v>1327</v>
      </c>
      <c r="K1" s="67" t="s">
        <v>1328</v>
      </c>
      <c r="L1" s="67" t="s">
        <v>1369</v>
      </c>
      <c r="M1" s="67" t="s">
        <v>1331</v>
      </c>
      <c r="N1" s="67" t="s">
        <v>1329</v>
      </c>
      <c r="O1" s="67"/>
      <c r="P1" s="67" t="s">
        <v>1330</v>
      </c>
      <c r="AQ1" s="76">
        <v>0.01</v>
      </c>
    </row>
    <row r="2" spans="1:121" ht="15" x14ac:dyDescent="0.25">
      <c r="G2" s="3"/>
      <c r="P2" s="1" t="s">
        <v>524</v>
      </c>
      <c r="AS2" s="1" t="s">
        <v>1332</v>
      </c>
    </row>
    <row r="3" spans="1:121" ht="15" x14ac:dyDescent="0.25">
      <c r="A3">
        <v>1000</v>
      </c>
      <c r="C3" t="s">
        <v>498</v>
      </c>
      <c r="P3" t="s">
        <v>501</v>
      </c>
      <c r="Q3">
        <v>18000</v>
      </c>
      <c r="R3">
        <v>1000</v>
      </c>
      <c r="S3">
        <v>42000</v>
      </c>
      <c r="T3" s="67">
        <f>Q3</f>
        <v>18000</v>
      </c>
      <c r="U3">
        <v>9000</v>
      </c>
      <c r="V3">
        <f>8000*18</f>
        <v>144000</v>
      </c>
      <c r="W3">
        <f>56000</f>
        <v>56000</v>
      </c>
      <c r="X3">
        <f>35000*18</f>
        <v>630000</v>
      </c>
      <c r="AQ3">
        <v>1</v>
      </c>
      <c r="AY3">
        <v>2</v>
      </c>
      <c r="BG3">
        <v>3</v>
      </c>
      <c r="BO3">
        <v>4</v>
      </c>
      <c r="BW3">
        <v>5</v>
      </c>
      <c r="CE3">
        <v>6</v>
      </c>
      <c r="CM3">
        <v>7</v>
      </c>
      <c r="CV3">
        <v>8</v>
      </c>
      <c r="DD3">
        <v>9</v>
      </c>
      <c r="DM3">
        <v>10</v>
      </c>
    </row>
    <row r="4" spans="1:121" ht="15" x14ac:dyDescent="0.25">
      <c r="C4" s="63" t="s">
        <v>500</v>
      </c>
      <c r="D4" s="62"/>
      <c r="E4" s="62"/>
      <c r="F4" s="62"/>
      <c r="G4" s="62"/>
      <c r="H4" s="483" t="s">
        <v>502</v>
      </c>
      <c r="I4" s="483"/>
      <c r="J4" s="483"/>
      <c r="K4" s="483"/>
      <c r="L4" s="483"/>
      <c r="M4" s="484"/>
      <c r="N4" s="484"/>
      <c r="O4" s="62"/>
      <c r="Q4" s="1" t="s">
        <v>523</v>
      </c>
      <c r="AA4" s="1" t="s">
        <v>522</v>
      </c>
      <c r="AO4" s="57" t="s">
        <v>478</v>
      </c>
      <c r="AP4" s="57"/>
      <c r="AQ4" s="57"/>
      <c r="AS4" s="3"/>
      <c r="AW4" s="57" t="s">
        <v>478</v>
      </c>
      <c r="AX4" s="57"/>
      <c r="AY4" s="57"/>
      <c r="BA4" s="3"/>
      <c r="BE4" s="57" t="s">
        <v>478</v>
      </c>
      <c r="BF4" s="57"/>
      <c r="BG4" s="57"/>
      <c r="BI4" s="3"/>
      <c r="BM4" s="57" t="s">
        <v>478</v>
      </c>
      <c r="BN4" s="57"/>
      <c r="BO4" s="57"/>
      <c r="BQ4" s="3"/>
      <c r="BU4" s="57" t="s">
        <v>478</v>
      </c>
      <c r="BV4" s="57"/>
      <c r="BW4" s="57"/>
      <c r="BY4" s="3"/>
      <c r="CC4" s="57" t="s">
        <v>478</v>
      </c>
      <c r="CD4" s="57"/>
      <c r="CE4" s="57"/>
      <c r="CG4" s="3"/>
      <c r="CK4" s="57" t="s">
        <v>478</v>
      </c>
      <c r="CL4" s="57"/>
      <c r="CM4" s="57"/>
      <c r="CO4" s="3"/>
      <c r="CT4" s="57" t="s">
        <v>478</v>
      </c>
      <c r="CU4" s="57"/>
      <c r="CV4" s="57"/>
      <c r="CX4" s="3"/>
      <c r="DB4" s="57" t="s">
        <v>478</v>
      </c>
      <c r="DC4" s="57"/>
      <c r="DD4" s="57"/>
      <c r="DF4" s="3"/>
      <c r="DK4" s="57" t="s">
        <v>478</v>
      </c>
      <c r="DL4" s="57"/>
      <c r="DM4" s="57"/>
      <c r="DO4" s="3"/>
    </row>
    <row r="5" spans="1:121" ht="30" x14ac:dyDescent="0.25">
      <c r="C5" t="s">
        <v>495</v>
      </c>
      <c r="D5" t="s">
        <v>490</v>
      </c>
      <c r="E5" t="s">
        <v>491</v>
      </c>
      <c r="F5" t="s">
        <v>496</v>
      </c>
      <c r="G5" t="s">
        <v>494</v>
      </c>
      <c r="H5" t="s">
        <v>492</v>
      </c>
      <c r="I5" s="1" t="s">
        <v>1229</v>
      </c>
      <c r="J5" s="1" t="s">
        <v>1230</v>
      </c>
      <c r="K5" s="1" t="s">
        <v>1231</v>
      </c>
      <c r="L5" s="1" t="s">
        <v>1345</v>
      </c>
      <c r="M5" t="s">
        <v>493</v>
      </c>
      <c r="N5" t="s">
        <v>497</v>
      </c>
      <c r="Q5" t="str">
        <f>C5</f>
        <v>Steel</v>
      </c>
      <c r="R5" t="str">
        <f>D5</f>
        <v>Cement</v>
      </c>
      <c r="S5" t="str">
        <f>E5</f>
        <v>Aluminium</v>
      </c>
      <c r="T5" t="str">
        <f>F5</f>
        <v>Glass</v>
      </c>
      <c r="U5" t="str">
        <f>G5</f>
        <v>Plastic</v>
      </c>
      <c r="V5" t="str">
        <f>H5</f>
        <v>Copper</v>
      </c>
      <c r="W5" t="str">
        <f>M5</f>
        <v>Zinc</v>
      </c>
      <c r="X5" t="str">
        <f>N5</f>
        <v>SiliconWafer</v>
      </c>
      <c r="AA5" t="str">
        <f t="shared" ref="AA5:AH5" si="0">Q5</f>
        <v>Steel</v>
      </c>
      <c r="AB5" t="str">
        <f t="shared" si="0"/>
        <v>Cement</v>
      </c>
      <c r="AC5" t="str">
        <f t="shared" si="0"/>
        <v>Aluminium</v>
      </c>
      <c r="AD5" t="str">
        <f t="shared" si="0"/>
        <v>Glass</v>
      </c>
      <c r="AE5" t="str">
        <f t="shared" si="0"/>
        <v>Plastic</v>
      </c>
      <c r="AF5" t="str">
        <f t="shared" si="0"/>
        <v>Copper</v>
      </c>
      <c r="AG5" t="str">
        <f t="shared" si="0"/>
        <v>Zinc</v>
      </c>
      <c r="AH5" t="str">
        <f t="shared" si="0"/>
        <v>SiliconWafer</v>
      </c>
      <c r="AI5" s="65" t="s">
        <v>516</v>
      </c>
      <c r="AJ5" s="65" t="s">
        <v>517</v>
      </c>
      <c r="AK5" s="65" t="s">
        <v>518</v>
      </c>
      <c r="AO5" s="59" t="s">
        <v>479</v>
      </c>
      <c r="AP5" s="59" t="s">
        <v>1</v>
      </c>
      <c r="AQ5" s="59" t="s">
        <v>482</v>
      </c>
      <c r="AR5">
        <v>0</v>
      </c>
      <c r="AS5" s="59">
        <v>2017</v>
      </c>
      <c r="AT5">
        <v>2030</v>
      </c>
      <c r="AU5" s="59">
        <v>2050</v>
      </c>
      <c r="AW5" s="59" t="s">
        <v>479</v>
      </c>
      <c r="AX5" s="59" t="s">
        <v>1</v>
      </c>
      <c r="AY5" s="59" t="s">
        <v>482</v>
      </c>
      <c r="AZ5">
        <v>0</v>
      </c>
      <c r="BA5" s="59">
        <v>2017</v>
      </c>
      <c r="BB5">
        <v>2030</v>
      </c>
      <c r="BC5" s="59">
        <v>2050</v>
      </c>
      <c r="BE5" s="59" t="s">
        <v>479</v>
      </c>
      <c r="BF5" s="59" t="s">
        <v>1</v>
      </c>
      <c r="BG5" s="59" t="s">
        <v>482</v>
      </c>
      <c r="BH5">
        <v>0</v>
      </c>
      <c r="BI5" s="59">
        <v>2017</v>
      </c>
      <c r="BJ5">
        <v>2030</v>
      </c>
      <c r="BK5" s="59">
        <v>2050</v>
      </c>
      <c r="BM5" s="59" t="s">
        <v>479</v>
      </c>
      <c r="BN5" s="59" t="s">
        <v>1</v>
      </c>
      <c r="BO5" s="59" t="s">
        <v>482</v>
      </c>
      <c r="BP5">
        <v>0</v>
      </c>
      <c r="BQ5" s="59">
        <v>2017</v>
      </c>
      <c r="BR5">
        <v>2030</v>
      </c>
      <c r="BS5" s="59">
        <v>2050</v>
      </c>
      <c r="BU5" s="59" t="s">
        <v>479</v>
      </c>
      <c r="BV5" s="59" t="s">
        <v>1</v>
      </c>
      <c r="BW5" s="59" t="s">
        <v>482</v>
      </c>
      <c r="BX5">
        <v>0</v>
      </c>
      <c r="BY5" s="59">
        <v>2017</v>
      </c>
      <c r="BZ5">
        <v>2030</v>
      </c>
      <c r="CA5" s="59">
        <v>2050</v>
      </c>
      <c r="CC5" s="59" t="s">
        <v>479</v>
      </c>
      <c r="CD5" s="59" t="s">
        <v>1</v>
      </c>
      <c r="CE5" s="59" t="s">
        <v>482</v>
      </c>
      <c r="CF5">
        <v>0</v>
      </c>
      <c r="CG5" s="59">
        <v>2017</v>
      </c>
      <c r="CH5">
        <v>2030</v>
      </c>
      <c r="CI5" s="59">
        <v>2050</v>
      </c>
      <c r="CK5" s="59" t="s">
        <v>479</v>
      </c>
      <c r="CL5" s="59" t="s">
        <v>1</v>
      </c>
      <c r="CM5" s="59" t="s">
        <v>482</v>
      </c>
      <c r="CN5">
        <v>0</v>
      </c>
      <c r="CO5" s="59">
        <v>2017</v>
      </c>
      <c r="CP5">
        <v>2030</v>
      </c>
      <c r="CQ5" s="59">
        <v>2050</v>
      </c>
      <c r="CT5" s="59" t="s">
        <v>479</v>
      </c>
      <c r="CU5" s="59" t="s">
        <v>1</v>
      </c>
      <c r="CV5" s="59" t="s">
        <v>482</v>
      </c>
      <c r="CW5">
        <v>0</v>
      </c>
      <c r="CX5" s="59">
        <v>2017</v>
      </c>
      <c r="CY5">
        <v>2030</v>
      </c>
      <c r="CZ5" s="59">
        <v>2050</v>
      </c>
      <c r="DB5" s="59" t="s">
        <v>479</v>
      </c>
      <c r="DC5" s="59" t="s">
        <v>1</v>
      </c>
      <c r="DD5" s="59" t="s">
        <v>482</v>
      </c>
      <c r="DE5">
        <v>0</v>
      </c>
      <c r="DF5" s="59">
        <v>2017</v>
      </c>
      <c r="DG5">
        <v>2030</v>
      </c>
      <c r="DH5" s="59">
        <v>2050</v>
      </c>
      <c r="DK5" s="59" t="s">
        <v>479</v>
      </c>
      <c r="DL5" s="59" t="s">
        <v>1</v>
      </c>
      <c r="DM5" s="59" t="s">
        <v>482</v>
      </c>
      <c r="DN5">
        <v>0</v>
      </c>
      <c r="DO5" s="59">
        <v>2017</v>
      </c>
      <c r="DP5">
        <v>2030</v>
      </c>
      <c r="DQ5" s="59">
        <v>2050</v>
      </c>
    </row>
    <row r="6" spans="1:121" ht="15" x14ac:dyDescent="0.25">
      <c r="A6" t="s">
        <v>58</v>
      </c>
      <c r="C6" s="67">
        <f>C17</f>
        <v>61</v>
      </c>
      <c r="D6" s="67">
        <f t="shared" ref="D6:H6" si="1">D17</f>
        <v>74.5</v>
      </c>
      <c r="E6" s="67">
        <f t="shared" si="1"/>
        <v>0</v>
      </c>
      <c r="F6" s="67">
        <f t="shared" si="1"/>
        <v>0</v>
      </c>
      <c r="G6" s="67">
        <f t="shared" si="1"/>
        <v>0</v>
      </c>
      <c r="H6" s="67">
        <f t="shared" si="1"/>
        <v>1.5</v>
      </c>
      <c r="I6" s="67"/>
      <c r="J6" s="67"/>
      <c r="K6" s="67"/>
      <c r="L6" s="67"/>
      <c r="AO6" s="3" t="str">
        <f>$A6</f>
        <v>EPumpStorage</v>
      </c>
      <c r="AP6" s="58" t="s">
        <v>481</v>
      </c>
      <c r="AQ6" s="459" t="str" cm="1">
        <f t="array" ref="AQ6">INDEX($C$1:$N$1,1,AQ$3)</f>
        <v>MATSTL</v>
      </c>
      <c r="AR6" s="3">
        <v>3</v>
      </c>
      <c r="AS6" s="3" cm="1">
        <f t="array" ref="AS6">INDEX($C6:$N6,1,AQ$3)</f>
        <v>61</v>
      </c>
      <c r="AW6" s="3" t="str">
        <f>$A6</f>
        <v>EPumpStorage</v>
      </c>
      <c r="AX6" s="58" t="s">
        <v>481</v>
      </c>
      <c r="AY6" s="459" t="str" cm="1">
        <f t="array" ref="AY6">INDEX($C$1:$N$1,1,AY$3)</f>
        <v>MATCEM</v>
      </c>
      <c r="AZ6" s="3">
        <v>3</v>
      </c>
      <c r="BA6" s="3" cm="1">
        <f t="array" ref="BA6">INDEX($C6:$N6,1,AY$3)</f>
        <v>74.5</v>
      </c>
      <c r="BE6" s="3" t="str">
        <f>$A6</f>
        <v>EPumpStorage</v>
      </c>
      <c r="BF6" s="58" t="s">
        <v>481</v>
      </c>
      <c r="BG6" s="459" t="str" cm="1">
        <f t="array" ref="BG6">INDEX($C$1:$N$1,1,BG$3)</f>
        <v>MATALU</v>
      </c>
      <c r="BH6" s="3">
        <v>3</v>
      </c>
      <c r="BI6" s="3" cm="1">
        <f t="array" ref="BI6">INDEX($C6:$N6,1,BG$3)</f>
        <v>0</v>
      </c>
      <c r="BM6" s="3" t="str">
        <f>$A6</f>
        <v>EPumpStorage</v>
      </c>
      <c r="BN6" s="58" t="s">
        <v>481</v>
      </c>
      <c r="BO6" s="459" t="str" cm="1">
        <f t="array" ref="BO6">INDEX($C$1:$N$1,1,BO$3)</f>
        <v>MATGLS</v>
      </c>
      <c r="BP6" s="3">
        <v>3</v>
      </c>
      <c r="BQ6" s="3" cm="1">
        <f t="array" ref="BQ6">INDEX($C6:$N6,1,BO$3)</f>
        <v>0</v>
      </c>
      <c r="BU6" s="3" t="str">
        <f>$A6</f>
        <v>EPumpStorage</v>
      </c>
      <c r="BV6" s="58" t="s">
        <v>481</v>
      </c>
      <c r="BW6" s="459" t="str" cm="1">
        <f t="array" ref="BW6">INDEX($C$1:$N$1,1,BW$3)</f>
        <v>MATPLT</v>
      </c>
      <c r="BX6" s="3">
        <v>3</v>
      </c>
      <c r="BY6" s="3" cm="1">
        <f t="array" ref="BY6">INDEX($C6:$N6,1,BW$3)</f>
        <v>0</v>
      </c>
      <c r="CC6" s="3" t="str">
        <f>$A6</f>
        <v>EPumpStorage</v>
      </c>
      <c r="CD6" s="58" t="s">
        <v>481</v>
      </c>
      <c r="CE6" s="459" t="str" cm="1">
        <f t="array" ref="CE6">INDEX($C$1:$N$1,1,CE$3)</f>
        <v>MATCOP</v>
      </c>
      <c r="CF6" s="3">
        <v>3</v>
      </c>
      <c r="CG6" s="3" cm="1">
        <f t="array" ref="CG6">INDEX($C6:$N6,1,CE$3)</f>
        <v>1.5</v>
      </c>
      <c r="CK6" s="3" t="str">
        <f>$A6</f>
        <v>EPumpStorage</v>
      </c>
      <c r="CL6" s="58" t="s">
        <v>481</v>
      </c>
      <c r="CM6" s="459" t="str" cm="1">
        <f t="array" ref="CM6">INDEX($C$1:$N$1,1,CM$3)</f>
        <v>MATNIC</v>
      </c>
      <c r="CN6" s="3">
        <v>3</v>
      </c>
      <c r="CO6" s="3"/>
      <c r="CT6" s="3" t="str">
        <f>$A6</f>
        <v>EPumpStorage</v>
      </c>
      <c r="CU6" s="58" t="s">
        <v>481</v>
      </c>
      <c r="CV6" s="459" t="str" cm="1">
        <f t="array" ref="CV6">INDEX($C$1:$N$1,1,CV$3)</f>
        <v>MATMNG</v>
      </c>
      <c r="CW6" s="3">
        <v>3</v>
      </c>
      <c r="CX6" s="3"/>
      <c r="DB6" s="3" t="str">
        <f>$A6</f>
        <v>EPumpStorage</v>
      </c>
      <c r="DC6" s="58" t="s">
        <v>481</v>
      </c>
      <c r="DD6" s="459" t="str" cm="1">
        <f t="array" ref="DD6">INDEX($C$1:$N$1,1,DD$3)</f>
        <v>MATCOB</v>
      </c>
      <c r="DE6" s="3">
        <v>3</v>
      </c>
      <c r="DF6" s="3"/>
      <c r="DK6" s="3" t="str">
        <f>$A6</f>
        <v>EPumpStorage</v>
      </c>
      <c r="DL6" s="58" t="s">
        <v>481</v>
      </c>
      <c r="DM6" s="459" t="str" cm="1">
        <f t="array" ref="DM6">INDEX($C$1:$N$1,1,DM$3)</f>
        <v>MATLIT</v>
      </c>
      <c r="DN6" s="3">
        <v>3</v>
      </c>
      <c r="DO6" s="3"/>
    </row>
    <row r="7" spans="1:121" ht="15" x14ac:dyDescent="0.25">
      <c r="A7" t="s">
        <v>57</v>
      </c>
      <c r="AO7" s="3" t="str">
        <f t="shared" ref="AO7:AO24" si="2">$A7</f>
        <v>EBiomass</v>
      </c>
      <c r="AP7" s="58" t="s">
        <v>481</v>
      </c>
      <c r="AQ7" s="459" t="str" cm="1">
        <f t="array" ref="AQ7">INDEX($C$1:$N$1,1,AQ$3)</f>
        <v>MATSTL</v>
      </c>
      <c r="AR7" s="3">
        <v>3</v>
      </c>
      <c r="AS7" s="3" cm="1">
        <f t="array" ref="AS7">INDEX($C7:$N7,1,AQ$3)</f>
        <v>0</v>
      </c>
      <c r="AW7" s="3" t="str">
        <f t="shared" ref="AW7:AW24" si="3">$A7</f>
        <v>EBiomass</v>
      </c>
      <c r="AX7" s="58" t="s">
        <v>481</v>
      </c>
      <c r="AY7" s="459" t="str" cm="1">
        <f t="array" ref="AY7">INDEX($C$1:$N$1,1,AY$3)</f>
        <v>MATCEM</v>
      </c>
      <c r="AZ7" s="3">
        <v>3</v>
      </c>
      <c r="BA7" s="3" cm="1">
        <f t="array" ref="BA7">INDEX($C7:$N7,1,AY$3)</f>
        <v>0</v>
      </c>
      <c r="BE7" s="3" t="str">
        <f t="shared" ref="BE7:BE24" si="4">$A7</f>
        <v>EBiomass</v>
      </c>
      <c r="BF7" s="58" t="s">
        <v>481</v>
      </c>
      <c r="BG7" s="459" t="str" cm="1">
        <f t="array" ref="BG7">INDEX($C$1:$N$1,1,BG$3)</f>
        <v>MATALU</v>
      </c>
      <c r="BH7" s="3">
        <v>3</v>
      </c>
      <c r="BI7" s="3" cm="1">
        <f t="array" ref="BI7">INDEX($C7:$N7,1,BG$3)</f>
        <v>0</v>
      </c>
      <c r="BM7" s="3" t="str">
        <f t="shared" ref="BM7:BM24" si="5">$A7</f>
        <v>EBiomass</v>
      </c>
      <c r="BN7" s="58" t="s">
        <v>481</v>
      </c>
      <c r="BO7" s="459" t="str" cm="1">
        <f t="array" ref="BO7">INDEX($C$1:$N$1,1,BO$3)</f>
        <v>MATGLS</v>
      </c>
      <c r="BP7" s="3">
        <v>3</v>
      </c>
      <c r="BQ7" s="3" cm="1">
        <f t="array" ref="BQ7">INDEX($C7:$N7,1,BO$3)</f>
        <v>0</v>
      </c>
      <c r="BU7" s="3" t="str">
        <f t="shared" ref="BU7:BU24" si="6">$A7</f>
        <v>EBiomass</v>
      </c>
      <c r="BV7" s="58" t="s">
        <v>481</v>
      </c>
      <c r="BW7" s="459" t="str" cm="1">
        <f t="array" ref="BW7">INDEX($C$1:$N$1,1,BW$3)</f>
        <v>MATPLT</v>
      </c>
      <c r="BX7" s="3">
        <v>3</v>
      </c>
      <c r="BY7" s="3" cm="1">
        <f t="array" ref="BY7">INDEX($C7:$N7,1,BW$3)</f>
        <v>0</v>
      </c>
      <c r="CC7" s="3" t="str">
        <f t="shared" ref="CC7:CC24" si="7">$A7</f>
        <v>EBiomass</v>
      </c>
      <c r="CD7" s="58" t="s">
        <v>481</v>
      </c>
      <c r="CE7" s="459" t="str" cm="1">
        <f t="array" ref="CE7">INDEX($C$1:$N$1,1,CE$3)</f>
        <v>MATCOP</v>
      </c>
      <c r="CF7" s="3">
        <v>3</v>
      </c>
      <c r="CG7" s="3" cm="1">
        <f t="array" ref="CG7">INDEX($C7:$N7,1,CE$3)</f>
        <v>0</v>
      </c>
      <c r="CK7" s="3" t="str">
        <f t="shared" ref="CK7:CK24" si="8">$A7</f>
        <v>EBiomass</v>
      </c>
      <c r="CL7" s="58" t="s">
        <v>481</v>
      </c>
      <c r="CM7" s="459" t="str" cm="1">
        <f t="array" ref="CM7">INDEX($C$1:$N$1,1,CM$3)</f>
        <v>MATNIC</v>
      </c>
      <c r="CN7" s="3">
        <v>3</v>
      </c>
      <c r="CO7" s="3"/>
      <c r="CT7" s="3" t="str">
        <f t="shared" ref="CT7:CT24" si="9">$A7</f>
        <v>EBiomass</v>
      </c>
      <c r="CU7" s="58" t="s">
        <v>481</v>
      </c>
      <c r="CV7" s="459" t="str" cm="1">
        <f t="array" ref="CV7">INDEX($C$1:$N$1,1,CV$3)</f>
        <v>MATMNG</v>
      </c>
      <c r="CW7" s="3">
        <v>3</v>
      </c>
      <c r="CX7" s="3"/>
      <c r="DB7" s="3" t="str">
        <f t="shared" ref="DB7:DB24" si="10">$A7</f>
        <v>EBiomass</v>
      </c>
      <c r="DC7" s="58" t="s">
        <v>481</v>
      </c>
      <c r="DD7" s="459" t="str" cm="1">
        <f t="array" ref="DD7">INDEX($C$1:$N$1,1,DD$3)</f>
        <v>MATCOB</v>
      </c>
      <c r="DE7" s="3">
        <v>3</v>
      </c>
      <c r="DF7" s="3"/>
      <c r="DK7" s="3" t="str">
        <f t="shared" ref="DK7:DK24" si="11">$A7</f>
        <v>EBiomass</v>
      </c>
      <c r="DL7" s="58" t="s">
        <v>481</v>
      </c>
      <c r="DM7" s="459" t="str" cm="1">
        <f t="array" ref="DM7">INDEX($C$1:$N$1,1,DM$3)</f>
        <v>MATLIT</v>
      </c>
      <c r="DN7" s="3">
        <v>3</v>
      </c>
      <c r="DO7" s="3"/>
    </row>
    <row r="8" spans="1:121" ht="15" x14ac:dyDescent="0.25">
      <c r="A8" t="s">
        <v>55</v>
      </c>
      <c r="AO8" s="3" t="str">
        <f t="shared" si="2"/>
        <v>EHydro</v>
      </c>
      <c r="AP8" s="58" t="s">
        <v>481</v>
      </c>
      <c r="AQ8" s="459" t="str" cm="1">
        <f t="array" ref="AQ8">INDEX($C$1:$N$1,1,AQ$3)</f>
        <v>MATSTL</v>
      </c>
      <c r="AR8" s="3">
        <v>3</v>
      </c>
      <c r="AS8" s="3" cm="1">
        <f t="array" ref="AS8">INDEX($C8:$N8,1,AQ$3)</f>
        <v>0</v>
      </c>
      <c r="AW8" s="3" t="str">
        <f t="shared" si="3"/>
        <v>EHydro</v>
      </c>
      <c r="AX8" s="58" t="s">
        <v>481</v>
      </c>
      <c r="AY8" s="459" t="str" cm="1">
        <f t="array" ref="AY8">INDEX($C$1:$N$1,1,AY$3)</f>
        <v>MATCEM</v>
      </c>
      <c r="AZ8" s="3">
        <v>3</v>
      </c>
      <c r="BA8" s="3" cm="1">
        <f t="array" ref="BA8">INDEX($C8:$N8,1,AY$3)</f>
        <v>0</v>
      </c>
      <c r="BE8" s="3" t="str">
        <f t="shared" si="4"/>
        <v>EHydro</v>
      </c>
      <c r="BF8" s="58" t="s">
        <v>481</v>
      </c>
      <c r="BG8" s="459" t="str" cm="1">
        <f t="array" ref="BG8">INDEX($C$1:$N$1,1,BG$3)</f>
        <v>MATALU</v>
      </c>
      <c r="BH8" s="3">
        <v>3</v>
      </c>
      <c r="BI8" s="3" cm="1">
        <f t="array" ref="BI8">INDEX($C8:$N8,1,BG$3)</f>
        <v>0</v>
      </c>
      <c r="BM8" s="3" t="str">
        <f t="shared" si="5"/>
        <v>EHydro</v>
      </c>
      <c r="BN8" s="58" t="s">
        <v>481</v>
      </c>
      <c r="BO8" s="459" t="str" cm="1">
        <f t="array" ref="BO8">INDEX($C$1:$N$1,1,BO$3)</f>
        <v>MATGLS</v>
      </c>
      <c r="BP8" s="3">
        <v>3</v>
      </c>
      <c r="BQ8" s="3" cm="1">
        <f t="array" ref="BQ8">INDEX($C8:$N8,1,BO$3)</f>
        <v>0</v>
      </c>
      <c r="BU8" s="3" t="str">
        <f t="shared" si="6"/>
        <v>EHydro</v>
      </c>
      <c r="BV8" s="58" t="s">
        <v>481</v>
      </c>
      <c r="BW8" s="459" t="str" cm="1">
        <f t="array" ref="BW8">INDEX($C$1:$N$1,1,BW$3)</f>
        <v>MATPLT</v>
      </c>
      <c r="BX8" s="3">
        <v>3</v>
      </c>
      <c r="BY8" s="3" cm="1">
        <f t="array" ref="BY8">INDEX($C8:$N8,1,BW$3)</f>
        <v>0</v>
      </c>
      <c r="CC8" s="3" t="str">
        <f t="shared" si="7"/>
        <v>EHydro</v>
      </c>
      <c r="CD8" s="58" t="s">
        <v>481</v>
      </c>
      <c r="CE8" s="459" t="str" cm="1">
        <f t="array" ref="CE8">INDEX($C$1:$N$1,1,CE$3)</f>
        <v>MATCOP</v>
      </c>
      <c r="CF8" s="3">
        <v>3</v>
      </c>
      <c r="CG8" s="3" cm="1">
        <f t="array" ref="CG8">INDEX($C8:$N8,1,CE$3)</f>
        <v>0</v>
      </c>
      <c r="CK8" s="3" t="str">
        <f t="shared" si="8"/>
        <v>EHydro</v>
      </c>
      <c r="CL8" s="58" t="s">
        <v>481</v>
      </c>
      <c r="CM8" s="459" t="str" cm="1">
        <f t="array" ref="CM8">INDEX($C$1:$N$1,1,CM$3)</f>
        <v>MATNIC</v>
      </c>
      <c r="CN8" s="3">
        <v>3</v>
      </c>
      <c r="CO8" s="3"/>
      <c r="CT8" s="3" t="str">
        <f t="shared" si="9"/>
        <v>EHydro</v>
      </c>
      <c r="CU8" s="58" t="s">
        <v>481</v>
      </c>
      <c r="CV8" s="459" t="str" cm="1">
        <f t="array" ref="CV8">INDEX($C$1:$N$1,1,CV$3)</f>
        <v>MATMNG</v>
      </c>
      <c r="CW8" s="3">
        <v>3</v>
      </c>
      <c r="CX8" s="3"/>
      <c r="DB8" s="3" t="str">
        <f t="shared" si="10"/>
        <v>EHydro</v>
      </c>
      <c r="DC8" s="58" t="s">
        <v>481</v>
      </c>
      <c r="DD8" s="459" t="str" cm="1">
        <f t="array" ref="DD8">INDEX($C$1:$N$1,1,DD$3)</f>
        <v>MATCOB</v>
      </c>
      <c r="DE8" s="3">
        <v>3</v>
      </c>
      <c r="DF8" s="3"/>
      <c r="DK8" s="3" t="str">
        <f t="shared" si="11"/>
        <v>EHydro</v>
      </c>
      <c r="DL8" s="58" t="s">
        <v>481</v>
      </c>
      <c r="DM8" s="459" t="str" cm="1">
        <f t="array" ref="DM8">INDEX($C$1:$N$1,1,DM$3)</f>
        <v>MATLIT</v>
      </c>
      <c r="DN8" s="3">
        <v>3</v>
      </c>
      <c r="DO8" s="3"/>
    </row>
    <row r="9" spans="1:121" ht="15" x14ac:dyDescent="0.25">
      <c r="A9" t="s">
        <v>56</v>
      </c>
      <c r="AO9" s="3" t="str">
        <f t="shared" si="2"/>
        <v>EImports</v>
      </c>
      <c r="AP9" s="58" t="s">
        <v>481</v>
      </c>
      <c r="AQ9" s="459" t="str" cm="1">
        <f t="array" ref="AQ9">INDEX($C$1:$N$1,1,AQ$3)</f>
        <v>MATSTL</v>
      </c>
      <c r="AR9" s="3">
        <v>3</v>
      </c>
      <c r="AS9" s="3" cm="1">
        <f t="array" ref="AS9">INDEX($C9:$N9,1,AQ$3)</f>
        <v>0</v>
      </c>
      <c r="AW9" s="3" t="str">
        <f t="shared" si="3"/>
        <v>EImports</v>
      </c>
      <c r="AX9" s="58" t="s">
        <v>481</v>
      </c>
      <c r="AY9" s="459" t="str" cm="1">
        <f t="array" ref="AY9">INDEX($C$1:$N$1,1,AY$3)</f>
        <v>MATCEM</v>
      </c>
      <c r="AZ9" s="3">
        <v>3</v>
      </c>
      <c r="BA9" s="3" cm="1">
        <f t="array" ref="BA9">INDEX($C9:$N9,1,AY$3)</f>
        <v>0</v>
      </c>
      <c r="BE9" s="3" t="str">
        <f t="shared" si="4"/>
        <v>EImports</v>
      </c>
      <c r="BF9" s="58" t="s">
        <v>481</v>
      </c>
      <c r="BG9" s="459" t="str" cm="1">
        <f t="array" ref="BG9">INDEX($C$1:$N$1,1,BG$3)</f>
        <v>MATALU</v>
      </c>
      <c r="BH9" s="3">
        <v>3</v>
      </c>
      <c r="BI9" s="3" cm="1">
        <f t="array" ref="BI9">INDEX($C9:$N9,1,BG$3)</f>
        <v>0</v>
      </c>
      <c r="BM9" s="3" t="str">
        <f t="shared" si="5"/>
        <v>EImports</v>
      </c>
      <c r="BN9" s="58" t="s">
        <v>481</v>
      </c>
      <c r="BO9" s="459" t="str" cm="1">
        <f t="array" ref="BO9">INDEX($C$1:$N$1,1,BO$3)</f>
        <v>MATGLS</v>
      </c>
      <c r="BP9" s="3">
        <v>3</v>
      </c>
      <c r="BQ9" s="3" cm="1">
        <f t="array" ref="BQ9">INDEX($C9:$N9,1,BO$3)</f>
        <v>0</v>
      </c>
      <c r="BU9" s="3" t="str">
        <f t="shared" si="6"/>
        <v>EImports</v>
      </c>
      <c r="BV9" s="58" t="s">
        <v>481</v>
      </c>
      <c r="BW9" s="459" t="str" cm="1">
        <f t="array" ref="BW9">INDEX($C$1:$N$1,1,BW$3)</f>
        <v>MATPLT</v>
      </c>
      <c r="BX9" s="3">
        <v>3</v>
      </c>
      <c r="BY9" s="3" cm="1">
        <f t="array" ref="BY9">INDEX($C9:$N9,1,BW$3)</f>
        <v>0</v>
      </c>
      <c r="CC9" s="3" t="str">
        <f t="shared" si="7"/>
        <v>EImports</v>
      </c>
      <c r="CD9" s="58" t="s">
        <v>481</v>
      </c>
      <c r="CE9" s="459" t="str" cm="1">
        <f t="array" ref="CE9">INDEX($C$1:$N$1,1,CE$3)</f>
        <v>MATCOP</v>
      </c>
      <c r="CF9" s="3">
        <v>3</v>
      </c>
      <c r="CG9" s="3" cm="1">
        <f t="array" ref="CG9">INDEX($C9:$N9,1,CE$3)</f>
        <v>0</v>
      </c>
      <c r="CK9" s="3" t="str">
        <f t="shared" si="8"/>
        <v>EImports</v>
      </c>
      <c r="CL9" s="58" t="s">
        <v>481</v>
      </c>
      <c r="CM9" s="459" t="str" cm="1">
        <f t="array" ref="CM9">INDEX($C$1:$N$1,1,CM$3)</f>
        <v>MATNIC</v>
      </c>
      <c r="CN9" s="3">
        <v>3</v>
      </c>
      <c r="CO9" s="3"/>
      <c r="CT9" s="3" t="str">
        <f t="shared" si="9"/>
        <v>EImports</v>
      </c>
      <c r="CU9" s="58" t="s">
        <v>481</v>
      </c>
      <c r="CV9" s="459" t="str" cm="1">
        <f t="array" ref="CV9">INDEX($C$1:$N$1,1,CV$3)</f>
        <v>MATMNG</v>
      </c>
      <c r="CW9" s="3">
        <v>3</v>
      </c>
      <c r="CX9" s="3"/>
      <c r="DB9" s="3" t="str">
        <f t="shared" si="10"/>
        <v>EImports</v>
      </c>
      <c r="DC9" s="58" t="s">
        <v>481</v>
      </c>
      <c r="DD9" s="459" t="str" cm="1">
        <f t="array" ref="DD9">INDEX($C$1:$N$1,1,DD$3)</f>
        <v>MATCOB</v>
      </c>
      <c r="DE9" s="3">
        <v>3</v>
      </c>
      <c r="DF9" s="3"/>
      <c r="DK9" s="3" t="str">
        <f t="shared" si="11"/>
        <v>EImports</v>
      </c>
      <c r="DL9" s="58" t="s">
        <v>481</v>
      </c>
      <c r="DM9" s="459" t="str" cm="1">
        <f t="array" ref="DM9">INDEX($C$1:$N$1,1,DM$3)</f>
        <v>MATLIT</v>
      </c>
      <c r="DN9" s="3">
        <v>3</v>
      </c>
      <c r="DO9" s="3"/>
    </row>
    <row r="10" spans="1:121" ht="15" x14ac:dyDescent="0.25">
      <c r="A10" t="s">
        <v>54</v>
      </c>
      <c r="C10">
        <f>68+3.7</f>
        <v>71.7</v>
      </c>
      <c r="D10">
        <v>10.199999999999999</v>
      </c>
      <c r="E10">
        <v>7.5</v>
      </c>
      <c r="F10">
        <v>46.4</v>
      </c>
      <c r="G10">
        <v>8.6</v>
      </c>
      <c r="H10">
        <v>4.5999999999999996</v>
      </c>
      <c r="M10">
        <v>3.4</v>
      </c>
      <c r="N10" s="68">
        <v>3.8</v>
      </c>
      <c r="O10" s="68"/>
      <c r="Q10">
        <f>Q$3*C10/1000</f>
        <v>1290.5999999999999</v>
      </c>
      <c r="R10">
        <f>R$3*D10/1000</f>
        <v>10.199999999999999</v>
      </c>
      <c r="S10">
        <f>S$3*E10/1000</f>
        <v>315</v>
      </c>
      <c r="T10">
        <f>T$3*F10/1000</f>
        <v>835.2</v>
      </c>
      <c r="U10">
        <f>U$3*G10/1000</f>
        <v>77.400000000000006</v>
      </c>
      <c r="V10">
        <f>V$3*H10/1000</f>
        <v>662.4</v>
      </c>
      <c r="W10">
        <f>W$3*M10/1000</f>
        <v>190.4</v>
      </c>
      <c r="X10">
        <f>X$3*N10/1000</f>
        <v>2394</v>
      </c>
      <c r="AA10" s="64">
        <f t="shared" ref="AA10:AH11" si="12">Q10/$AI10</f>
        <v>0.22347278016345751</v>
      </c>
      <c r="AB10" s="64">
        <f t="shared" si="12"/>
        <v>1.7661726000831137E-3</v>
      </c>
      <c r="AC10" s="64">
        <f t="shared" si="12"/>
        <v>5.4543565590802041E-2</v>
      </c>
      <c r="AD10" s="64">
        <f t="shared" si="12"/>
        <v>0.14461836819504084</v>
      </c>
      <c r="AE10" s="64">
        <f t="shared" si="12"/>
        <v>1.3402133259454217E-2</v>
      </c>
      <c r="AF10" s="64">
        <f t="shared" si="12"/>
        <v>0.11469732649951515</v>
      </c>
      <c r="AG10" s="64">
        <f t="shared" si="12"/>
        <v>3.296855520155146E-2</v>
      </c>
      <c r="AH10" s="64">
        <f t="shared" si="12"/>
        <v>0.41453109849009551</v>
      </c>
      <c r="AI10">
        <f>SUM(Q10:X10)</f>
        <v>5775.2000000000007</v>
      </c>
      <c r="AJ10">
        <v>14722</v>
      </c>
      <c r="AK10">
        <f>AJ10-AI10</f>
        <v>8946.7999999999993</v>
      </c>
      <c r="AO10" s="3" t="str">
        <f t="shared" si="2"/>
        <v>EPV_Grid</v>
      </c>
      <c r="AP10" s="58" t="s">
        <v>481</v>
      </c>
      <c r="AQ10" s="459" t="str" cm="1">
        <f t="array" ref="AQ10">INDEX($C$1:$N$1,1,AQ$3)</f>
        <v>MATSTL</v>
      </c>
      <c r="AR10" s="3">
        <v>3</v>
      </c>
      <c r="AS10" s="3" cm="1">
        <f t="array" ref="AS10">INDEX($C10:$N10,1,AQ$3)</f>
        <v>71.7</v>
      </c>
      <c r="AT10" s="457">
        <f>AS10*(1/(1+$AQ$1))^(AT$5-AS$5)</f>
        <v>63.000108367833178</v>
      </c>
      <c r="AU10" s="457">
        <f>AT10*(1/(1+$AQ$1))^(AU$5-AT$5)</f>
        <v>51.631390443508039</v>
      </c>
      <c r="AW10" s="3" t="str">
        <f t="shared" si="3"/>
        <v>EPV_Grid</v>
      </c>
      <c r="AX10" s="58" t="s">
        <v>481</v>
      </c>
      <c r="AY10" s="459" t="str" cm="1">
        <f t="array" ref="AY10">INDEX($C$1:$N$1,1,AY$3)</f>
        <v>MATCEM</v>
      </c>
      <c r="AZ10" s="3">
        <v>3</v>
      </c>
      <c r="BA10" s="3" cm="1">
        <f t="array" ref="BA10">INDEX($C10:$N10,1,AY$3)</f>
        <v>10.199999999999999</v>
      </c>
      <c r="BB10" s="457">
        <f>BA10*(1/(1+$AQ$1))^(BB$5-BA$5)</f>
        <v>8.9623585125787777</v>
      </c>
      <c r="BC10" s="457">
        <f>BB10*(1/(1+$AQ$1))^(BC$5-BB$5)</f>
        <v>7.345051360164323</v>
      </c>
      <c r="BE10" s="3" t="str">
        <f t="shared" si="4"/>
        <v>EPV_Grid</v>
      </c>
      <c r="BF10" s="58" t="s">
        <v>481</v>
      </c>
      <c r="BG10" s="459" t="str" cm="1">
        <f t="array" ref="BG10">INDEX($C$1:$N$1,1,BG$3)</f>
        <v>MATALU</v>
      </c>
      <c r="BH10" s="3">
        <v>3</v>
      </c>
      <c r="BI10" s="3" cm="1">
        <f t="array" ref="BI10">INDEX($C10:$N10,1,BG$3)</f>
        <v>7.5</v>
      </c>
      <c r="BJ10" s="457">
        <f>BI10*(1/(1+$AQ$1))^(BJ$5-BI$5)</f>
        <v>6.5899694945432188</v>
      </c>
      <c r="BK10" s="457">
        <f>BJ10*(1/(1+$AQ$1))^(BK$5-BJ$5)</f>
        <v>5.4007730589443552</v>
      </c>
      <c r="BM10" s="3" t="str">
        <f t="shared" si="5"/>
        <v>EPV_Grid</v>
      </c>
      <c r="BN10" s="58" t="s">
        <v>481</v>
      </c>
      <c r="BO10" s="459" t="str" cm="1">
        <f t="array" ref="BO10">INDEX($C$1:$N$1,1,BO$3)</f>
        <v>MATGLS</v>
      </c>
      <c r="BP10" s="3">
        <v>3</v>
      </c>
      <c r="BQ10" s="3" cm="1">
        <f t="array" ref="BQ10">INDEX($C10:$N10,1,BO$3)</f>
        <v>46.4</v>
      </c>
      <c r="BR10" s="457">
        <f>BQ10*(1/(1+$AQ$1))^(BR$5-BQ$5)</f>
        <v>40.769944606240713</v>
      </c>
      <c r="BS10" s="457">
        <f>BR10*(1/(1+$AQ$1))^(BS$5-BR$5)</f>
        <v>33.412782658002406</v>
      </c>
      <c r="BU10" s="3" t="str">
        <f t="shared" si="6"/>
        <v>EPV_Grid</v>
      </c>
      <c r="BV10" s="58" t="s">
        <v>481</v>
      </c>
      <c r="BW10" s="459" t="str" cm="1">
        <f t="array" ref="BW10">INDEX($C$1:$N$1,1,BW$3)</f>
        <v>MATPLT</v>
      </c>
      <c r="BX10" s="3">
        <v>3</v>
      </c>
      <c r="BY10" s="3" cm="1">
        <f t="array" ref="BY10">INDEX($C10:$N10,1,BW$3)</f>
        <v>8.6</v>
      </c>
      <c r="BZ10" s="457">
        <f>BY10*(1/(1+$AQ$1))^(BZ$5-BY$5)</f>
        <v>7.5564983537428905</v>
      </c>
      <c r="CA10" s="457">
        <f>BZ10*(1/(1+$AQ$1))^(CA$5-BZ$5)</f>
        <v>6.1928864409228597</v>
      </c>
      <c r="CC10" s="3" t="str">
        <f t="shared" si="7"/>
        <v>EPV_Grid</v>
      </c>
      <c r="CD10" s="58" t="s">
        <v>481</v>
      </c>
      <c r="CE10" s="459" t="str" cm="1">
        <f t="array" ref="CE10">INDEX($C$1:$N$1,1,CE$3)</f>
        <v>MATCOP</v>
      </c>
      <c r="CF10" s="3">
        <v>3</v>
      </c>
      <c r="CG10" s="3" cm="1">
        <f t="array" ref="CG10">INDEX($C10:$N10,1,CE$3)</f>
        <v>4.5999999999999996</v>
      </c>
      <c r="CH10" s="457">
        <f>CG10*(1/(1+$AQ$1))^(CH$5-CG$5)</f>
        <v>4.0418479566531742</v>
      </c>
      <c r="CI10" s="457">
        <f>CH10*(1/(1+$AQ$1))^(CI$5-CH$5)</f>
        <v>3.3124741428192044</v>
      </c>
      <c r="CK10" s="3" t="str">
        <f t="shared" si="8"/>
        <v>EPV_Grid</v>
      </c>
      <c r="CL10" s="58" t="s">
        <v>481</v>
      </c>
      <c r="CM10" s="459" t="str" cm="1">
        <f t="array" ref="CM10">INDEX($C$1:$N$1,1,CM$3)</f>
        <v>MATNIC</v>
      </c>
      <c r="CN10" s="3">
        <v>3</v>
      </c>
      <c r="CO10" s="3"/>
      <c r="CP10" s="457"/>
      <c r="CQ10" s="457"/>
      <c r="CT10" s="3" t="str">
        <f t="shared" si="9"/>
        <v>EPV_Grid</v>
      </c>
      <c r="CU10" s="58" t="s">
        <v>481</v>
      </c>
      <c r="CV10" s="459" t="str" cm="1">
        <f t="array" ref="CV10">INDEX($C$1:$N$1,1,CV$3)</f>
        <v>MATMNG</v>
      </c>
      <c r="CW10" s="3">
        <v>3</v>
      </c>
      <c r="CX10" s="3"/>
      <c r="CY10" s="457"/>
      <c r="CZ10" s="457"/>
      <c r="DB10" s="3" t="str">
        <f t="shared" si="10"/>
        <v>EPV_Grid</v>
      </c>
      <c r="DC10" s="58" t="s">
        <v>481</v>
      </c>
      <c r="DD10" s="459" t="str" cm="1">
        <f t="array" ref="DD10">INDEX($C$1:$N$1,1,DD$3)</f>
        <v>MATCOB</v>
      </c>
      <c r="DE10" s="3">
        <v>3</v>
      </c>
      <c r="DF10" s="3"/>
      <c r="DG10" s="457"/>
      <c r="DH10" s="457"/>
      <c r="DK10" s="3" t="str">
        <f t="shared" si="11"/>
        <v>EPV_Grid</v>
      </c>
      <c r="DL10" s="58" t="s">
        <v>481</v>
      </c>
      <c r="DM10" s="459" t="str" cm="1">
        <f t="array" ref="DM10">INDEX($C$1:$N$1,1,DM$3)</f>
        <v>MATLIT</v>
      </c>
      <c r="DN10" s="3">
        <v>3</v>
      </c>
      <c r="DO10" s="3"/>
      <c r="DP10" s="457"/>
      <c r="DQ10" s="457"/>
    </row>
    <row r="11" spans="1:121" ht="15" x14ac:dyDescent="0.25">
      <c r="A11" t="s">
        <v>499</v>
      </c>
      <c r="C11">
        <f>34+1.8</f>
        <v>35.799999999999997</v>
      </c>
      <c r="D11">
        <v>5.0999999999999996</v>
      </c>
      <c r="E11">
        <v>11</v>
      </c>
      <c r="F11">
        <v>46.4</v>
      </c>
      <c r="G11">
        <v>8.6</v>
      </c>
      <c r="H11">
        <v>4.5999999999999996</v>
      </c>
      <c r="M11">
        <v>1.7</v>
      </c>
      <c r="N11" s="68">
        <v>3.8</v>
      </c>
      <c r="O11" s="68"/>
      <c r="Q11">
        <f>Q$3*C11/1000</f>
        <v>644.4</v>
      </c>
      <c r="R11">
        <f>R$3*D11/1000</f>
        <v>5.0999999999999996</v>
      </c>
      <c r="S11">
        <f>S$3*E11/1000</f>
        <v>462</v>
      </c>
      <c r="T11">
        <f>T$3*F11/1000</f>
        <v>835.2</v>
      </c>
      <c r="U11">
        <f>U$3*G11/1000</f>
        <v>77.400000000000006</v>
      </c>
      <c r="V11">
        <f>V$3*H11/1000</f>
        <v>662.4</v>
      </c>
      <c r="W11">
        <f>W$3*M11/1000</f>
        <v>95.2</v>
      </c>
      <c r="X11">
        <f>X$3*N11/1000</f>
        <v>2394</v>
      </c>
      <c r="AA11" s="64">
        <f t="shared" si="12"/>
        <v>0.12450489788820836</v>
      </c>
      <c r="AB11" s="64">
        <f t="shared" si="12"/>
        <v>9.8537395907799898E-4</v>
      </c>
      <c r="AC11" s="64">
        <f t="shared" si="12"/>
        <v>8.9263288057654044E-2</v>
      </c>
      <c r="AD11" s="64">
        <f t="shared" si="12"/>
        <v>0.16136947659253822</v>
      </c>
      <c r="AE11" s="64">
        <f t="shared" si="12"/>
        <v>1.4954498908360224E-2</v>
      </c>
      <c r="AF11" s="64">
        <f t="shared" si="12"/>
        <v>0.12798268833201307</v>
      </c>
      <c r="AG11" s="64">
        <f t="shared" si="12"/>
        <v>1.8393647236122652E-2</v>
      </c>
      <c r="AH11" s="64">
        <f t="shared" si="12"/>
        <v>0.46254612902602549</v>
      </c>
      <c r="AI11">
        <f>SUM(Q11:X11)</f>
        <v>5175.7</v>
      </c>
      <c r="AJ11">
        <v>16022</v>
      </c>
      <c r="AK11">
        <f>AJ11-AI11</f>
        <v>10846.3</v>
      </c>
      <c r="AO11" s="3" t="str">
        <f t="shared" si="2"/>
        <v>EPV_RfTp</v>
      </c>
      <c r="AP11" s="58" t="s">
        <v>481</v>
      </c>
      <c r="AQ11" s="459" t="str" cm="1">
        <f t="array" ref="AQ11">INDEX($C$1:$N$1,1,AQ$3)</f>
        <v>MATSTL</v>
      </c>
      <c r="AR11" s="3">
        <v>3</v>
      </c>
      <c r="AS11" s="3" cm="1">
        <f t="array" ref="AS11">INDEX($C11:$N11,1,AQ$3)</f>
        <v>35.799999999999997</v>
      </c>
      <c r="AT11" s="457">
        <f>AS11*(1/(1+$AQ$1))^(AT$5-AS$5)</f>
        <v>31.456121053952963</v>
      </c>
      <c r="AU11" s="457">
        <f>AT11*(1/(1+$AQ$1))^(AU$5-AT$5)</f>
        <v>25.779690068027719</v>
      </c>
      <c r="AW11" s="3" t="str">
        <f t="shared" si="3"/>
        <v>EPV_RfTp</v>
      </c>
      <c r="AX11" s="58" t="s">
        <v>481</v>
      </c>
      <c r="AY11" s="459" t="str" cm="1">
        <f t="array" ref="AY11">INDEX($C$1:$N$1,1,AY$3)</f>
        <v>MATCEM</v>
      </c>
      <c r="AZ11" s="3">
        <v>3</v>
      </c>
      <c r="BA11" s="3" cm="1">
        <f t="array" ref="BA11">INDEX($C11:$N11,1,AY$3)</f>
        <v>5.0999999999999996</v>
      </c>
      <c r="BB11" s="457">
        <f>BA11*(1/(1+$AQ$1))^(BB$5-BA$5)</f>
        <v>4.4811792562893888</v>
      </c>
      <c r="BC11" s="457">
        <f>BB11*(1/(1+$AQ$1))^(BC$5-BB$5)</f>
        <v>3.6725256800821615</v>
      </c>
      <c r="BE11" s="3" t="str">
        <f t="shared" si="4"/>
        <v>EPV_RfTp</v>
      </c>
      <c r="BF11" s="58" t="s">
        <v>481</v>
      </c>
      <c r="BG11" s="459" t="str" cm="1">
        <f t="array" ref="BG11">INDEX($C$1:$N$1,1,BG$3)</f>
        <v>MATALU</v>
      </c>
      <c r="BH11" s="3">
        <v>3</v>
      </c>
      <c r="BI11" s="3" cm="1">
        <f t="array" ref="BI11">INDEX($C11:$N11,1,BG$3)</f>
        <v>11</v>
      </c>
      <c r="BJ11" s="457">
        <f>BI11*(1/(1+$AQ$1))^(BJ$5-BI$5)</f>
        <v>9.6652885919967204</v>
      </c>
      <c r="BK11" s="457">
        <f>BJ11*(1/(1+$AQ$1))^(BK$5-BJ$5)</f>
        <v>7.9211338197850534</v>
      </c>
      <c r="BM11" s="3" t="str">
        <f t="shared" si="5"/>
        <v>EPV_RfTp</v>
      </c>
      <c r="BN11" s="58" t="s">
        <v>481</v>
      </c>
      <c r="BO11" s="459" t="str" cm="1">
        <f t="array" ref="BO11">INDEX($C$1:$N$1,1,BO$3)</f>
        <v>MATGLS</v>
      </c>
      <c r="BP11" s="3">
        <v>3</v>
      </c>
      <c r="BQ11" s="3" cm="1">
        <f t="array" ref="BQ11">INDEX($C11:$N11,1,BO$3)</f>
        <v>46.4</v>
      </c>
      <c r="BR11" s="457">
        <f>BQ11*(1/(1+$AQ$1))^(BR$5-BQ$5)</f>
        <v>40.769944606240713</v>
      </c>
      <c r="BS11" s="457">
        <f>BR11*(1/(1+$AQ$1))^(BS$5-BR$5)</f>
        <v>33.412782658002406</v>
      </c>
      <c r="BU11" s="3" t="str">
        <f t="shared" si="6"/>
        <v>EPV_RfTp</v>
      </c>
      <c r="BV11" s="58" t="s">
        <v>481</v>
      </c>
      <c r="BW11" s="459" t="str" cm="1">
        <f t="array" ref="BW11">INDEX($C$1:$N$1,1,BW$3)</f>
        <v>MATPLT</v>
      </c>
      <c r="BX11" s="3">
        <v>3</v>
      </c>
      <c r="BY11" s="3" cm="1">
        <f t="array" ref="BY11">INDEX($C11:$N11,1,BW$3)</f>
        <v>8.6</v>
      </c>
      <c r="BZ11" s="457">
        <f>BY11*(1/(1+$AQ$1))^(BZ$5-BY$5)</f>
        <v>7.5564983537428905</v>
      </c>
      <c r="CA11" s="457">
        <f>BZ11*(1/(1+$AQ$1))^(CA$5-BZ$5)</f>
        <v>6.1928864409228597</v>
      </c>
      <c r="CC11" s="3" t="str">
        <f t="shared" si="7"/>
        <v>EPV_RfTp</v>
      </c>
      <c r="CD11" s="58" t="s">
        <v>481</v>
      </c>
      <c r="CE11" s="459" t="str" cm="1">
        <f t="array" ref="CE11">INDEX($C$1:$N$1,1,CE$3)</f>
        <v>MATCOP</v>
      </c>
      <c r="CF11" s="3">
        <v>3</v>
      </c>
      <c r="CG11" s="3" cm="1">
        <f t="array" ref="CG11">INDEX($C11:$N11,1,CE$3)</f>
        <v>4.5999999999999996</v>
      </c>
      <c r="CH11" s="457">
        <f>CG11*(1/(1+$AQ$1))^(CH$5-CG$5)</f>
        <v>4.0418479566531742</v>
      </c>
      <c r="CI11" s="457">
        <f>CH11*(1/(1+$AQ$1))^(CI$5-CH$5)</f>
        <v>3.3124741428192044</v>
      </c>
      <c r="CK11" s="3" t="str">
        <f t="shared" si="8"/>
        <v>EPV_RfTp</v>
      </c>
      <c r="CL11" s="58" t="s">
        <v>481</v>
      </c>
      <c r="CM11" s="459" t="str" cm="1">
        <f t="array" ref="CM11">INDEX($C$1:$N$1,1,CM$3)</f>
        <v>MATNIC</v>
      </c>
      <c r="CN11" s="3">
        <v>3</v>
      </c>
      <c r="CO11" s="3"/>
      <c r="CP11" s="457"/>
      <c r="CQ11" s="457"/>
      <c r="CT11" s="3" t="str">
        <f t="shared" si="9"/>
        <v>EPV_RfTp</v>
      </c>
      <c r="CU11" s="58" t="s">
        <v>481</v>
      </c>
      <c r="CV11" s="459" t="str" cm="1">
        <f t="array" ref="CV11">INDEX($C$1:$N$1,1,CV$3)</f>
        <v>MATMNG</v>
      </c>
      <c r="CW11" s="3">
        <v>3</v>
      </c>
      <c r="CX11" s="3"/>
      <c r="CY11" s="457"/>
      <c r="CZ11" s="457"/>
      <c r="DB11" s="3" t="str">
        <f t="shared" si="10"/>
        <v>EPV_RfTp</v>
      </c>
      <c r="DC11" s="58" t="s">
        <v>481</v>
      </c>
      <c r="DD11" s="459" t="str" cm="1">
        <f t="array" ref="DD11">INDEX($C$1:$N$1,1,DD$3)</f>
        <v>MATCOB</v>
      </c>
      <c r="DE11" s="3">
        <v>3</v>
      </c>
      <c r="DF11" s="3"/>
      <c r="DG11" s="457"/>
      <c r="DH11" s="457"/>
      <c r="DK11" s="3" t="str">
        <f t="shared" si="11"/>
        <v>EPV_RfTp</v>
      </c>
      <c r="DL11" s="58" t="s">
        <v>481</v>
      </c>
      <c r="DM11" s="459" t="str" cm="1">
        <f t="array" ref="DM11">INDEX($C$1:$N$1,1,DM$3)</f>
        <v>MATLIT</v>
      </c>
      <c r="DN11" s="3">
        <v>3</v>
      </c>
      <c r="DO11" s="3"/>
      <c r="DP11" s="457"/>
      <c r="DQ11" s="457"/>
    </row>
    <row r="12" spans="1:121" ht="15" x14ac:dyDescent="0.25">
      <c r="A12" t="s">
        <v>50</v>
      </c>
      <c r="Q12">
        <f>Q$3*C12/1000</f>
        <v>0</v>
      </c>
      <c r="R12">
        <f>R$3*D12/1000</f>
        <v>0</v>
      </c>
      <c r="S12">
        <f>S$3*E12/1000</f>
        <v>0</v>
      </c>
      <c r="T12">
        <f>T$3*F12/1000</f>
        <v>0</v>
      </c>
      <c r="U12">
        <f>U$3*G12/1000</f>
        <v>0</v>
      </c>
      <c r="V12">
        <f>V$3*H12/1000</f>
        <v>0</v>
      </c>
      <c r="W12">
        <f>W$3*M12/1000</f>
        <v>0</v>
      </c>
      <c r="X12">
        <f>X$3*N12/1000</f>
        <v>0</v>
      </c>
      <c r="AK12">
        <f>AJ12-AI12</f>
        <v>0</v>
      </c>
      <c r="AO12" s="3" t="str">
        <f t="shared" si="2"/>
        <v>ECSP</v>
      </c>
      <c r="AP12" s="58" t="s">
        <v>481</v>
      </c>
      <c r="AQ12" s="459" t="str" cm="1">
        <f t="array" ref="AQ12">INDEX($C$1:$N$1,1,AQ$3)</f>
        <v>MATSTL</v>
      </c>
      <c r="AR12" s="3">
        <v>3</v>
      </c>
      <c r="AS12" s="3" cm="1">
        <f t="array" ref="AS12">INDEX($C12:$N12,1,AQ$3)</f>
        <v>0</v>
      </c>
      <c r="AW12" s="3" t="str">
        <f t="shared" si="3"/>
        <v>ECSP</v>
      </c>
      <c r="AX12" s="58" t="s">
        <v>481</v>
      </c>
      <c r="AY12" s="459" t="str" cm="1">
        <f t="array" ref="AY12">INDEX($C$1:$N$1,1,AY$3)</f>
        <v>MATCEM</v>
      </c>
      <c r="AZ12" s="3">
        <v>3</v>
      </c>
      <c r="BA12" s="3" cm="1">
        <f t="array" ref="BA12">INDEX($C12:$N12,1,AY$3)</f>
        <v>0</v>
      </c>
      <c r="BE12" s="3" t="str">
        <f t="shared" si="4"/>
        <v>ECSP</v>
      </c>
      <c r="BF12" s="58" t="s">
        <v>481</v>
      </c>
      <c r="BG12" s="459" t="str" cm="1">
        <f t="array" ref="BG12">INDEX($C$1:$N$1,1,BG$3)</f>
        <v>MATALU</v>
      </c>
      <c r="BH12" s="3">
        <v>3</v>
      </c>
      <c r="BI12" s="3" cm="1">
        <f t="array" ref="BI12">INDEX($C12:$N12,1,BG$3)</f>
        <v>0</v>
      </c>
      <c r="BM12" s="3" t="str">
        <f t="shared" si="5"/>
        <v>ECSP</v>
      </c>
      <c r="BN12" s="58" t="s">
        <v>481</v>
      </c>
      <c r="BO12" s="459" t="str" cm="1">
        <f t="array" ref="BO12">INDEX($C$1:$N$1,1,BO$3)</f>
        <v>MATGLS</v>
      </c>
      <c r="BP12" s="3">
        <v>3</v>
      </c>
      <c r="BQ12" s="3" cm="1">
        <f t="array" ref="BQ12">INDEX($C12:$N12,1,BO$3)</f>
        <v>0</v>
      </c>
      <c r="BU12" s="3" t="str">
        <f t="shared" si="6"/>
        <v>ECSP</v>
      </c>
      <c r="BV12" s="58" t="s">
        <v>481</v>
      </c>
      <c r="BW12" s="459" t="str" cm="1">
        <f t="array" ref="BW12">INDEX($C$1:$N$1,1,BW$3)</f>
        <v>MATPLT</v>
      </c>
      <c r="BX12" s="3">
        <v>3</v>
      </c>
      <c r="BY12" s="3" cm="1">
        <f t="array" ref="BY12">INDEX($C12:$N12,1,BW$3)</f>
        <v>0</v>
      </c>
      <c r="CC12" s="3" t="str">
        <f t="shared" si="7"/>
        <v>ECSP</v>
      </c>
      <c r="CD12" s="58" t="s">
        <v>481</v>
      </c>
      <c r="CE12" s="459" t="str" cm="1">
        <f t="array" ref="CE12">INDEX($C$1:$N$1,1,CE$3)</f>
        <v>MATCOP</v>
      </c>
      <c r="CF12" s="3">
        <v>3</v>
      </c>
      <c r="CG12" s="3" cm="1">
        <f t="array" ref="CG12">INDEX($C12:$N12,1,CE$3)</f>
        <v>0</v>
      </c>
      <c r="CK12" s="3" t="str">
        <f t="shared" si="8"/>
        <v>ECSP</v>
      </c>
      <c r="CL12" s="58" t="s">
        <v>481</v>
      </c>
      <c r="CM12" s="459" t="str" cm="1">
        <f t="array" ref="CM12">INDEX($C$1:$N$1,1,CM$3)</f>
        <v>MATNIC</v>
      </c>
      <c r="CN12" s="3">
        <v>3</v>
      </c>
      <c r="CO12" s="3"/>
      <c r="CT12" s="3" t="str">
        <f t="shared" si="9"/>
        <v>ECSP</v>
      </c>
      <c r="CU12" s="58" t="s">
        <v>481</v>
      </c>
      <c r="CV12" s="459" t="str" cm="1">
        <f t="array" ref="CV12">INDEX($C$1:$N$1,1,CV$3)</f>
        <v>MATMNG</v>
      </c>
      <c r="CW12" s="3">
        <v>3</v>
      </c>
      <c r="CX12" s="3"/>
      <c r="DB12" s="3" t="str">
        <f t="shared" si="10"/>
        <v>ECSP</v>
      </c>
      <c r="DC12" s="58" t="s">
        <v>481</v>
      </c>
      <c r="DD12" s="459" t="str" cm="1">
        <f t="array" ref="DD12">INDEX($C$1:$N$1,1,DD$3)</f>
        <v>MATCOB</v>
      </c>
      <c r="DE12" s="3">
        <v>3</v>
      </c>
      <c r="DF12" s="3"/>
      <c r="DK12" s="3" t="str">
        <f t="shared" si="11"/>
        <v>ECSP</v>
      </c>
      <c r="DL12" s="58" t="s">
        <v>481</v>
      </c>
      <c r="DM12" s="459" t="str" cm="1">
        <f t="array" ref="DM12">INDEX($C$1:$N$1,1,DM$3)</f>
        <v>MATLIT</v>
      </c>
      <c r="DN12" s="3">
        <v>3</v>
      </c>
      <c r="DO12" s="3"/>
    </row>
    <row r="13" spans="1:121" ht="15" x14ac:dyDescent="0.25">
      <c r="A13" t="s">
        <v>49</v>
      </c>
      <c r="C13">
        <f>9.6+110.4+38+20</f>
        <v>178</v>
      </c>
      <c r="D13">
        <v>71.400000000000006</v>
      </c>
      <c r="E13">
        <v>1.4</v>
      </c>
      <c r="F13">
        <v>8.1999999999999993</v>
      </c>
      <c r="G13">
        <v>2.9</v>
      </c>
      <c r="H13">
        <v>2</v>
      </c>
      <c r="M13">
        <v>5.5</v>
      </c>
      <c r="Q13">
        <f>Q$3*C13/1000</f>
        <v>3204</v>
      </c>
      <c r="R13">
        <f>R$3*D13/1000</f>
        <v>71.400000000000006</v>
      </c>
      <c r="S13">
        <f>S$3*E13/1000</f>
        <v>58.79999999999999</v>
      </c>
      <c r="T13">
        <f>T$3*F13/1000</f>
        <v>147.6</v>
      </c>
      <c r="U13">
        <f>U$3*G13/1000</f>
        <v>26.1</v>
      </c>
      <c r="V13">
        <f>V$3*H13/1000</f>
        <v>288</v>
      </c>
      <c r="W13">
        <f>W$3*M13/1000</f>
        <v>308</v>
      </c>
      <c r="X13">
        <f>X$3*N13/1000</f>
        <v>0</v>
      </c>
      <c r="AA13" s="64">
        <f t="shared" ref="AA13:AH13" si="13">Q13/$AI13</f>
        <v>0.78072077779672999</v>
      </c>
      <c r="AB13" s="64">
        <f t="shared" si="13"/>
        <v>1.7398084748653724E-2</v>
      </c>
      <c r="AC13" s="64">
        <f t="shared" si="13"/>
        <v>1.4327834498891297E-2</v>
      </c>
      <c r="AD13" s="64">
        <f t="shared" si="13"/>
        <v>3.5965788640074076E-2</v>
      </c>
      <c r="AE13" s="64">
        <f t="shared" si="13"/>
        <v>6.3598040887935872E-3</v>
      </c>
      <c r="AF13" s="64">
        <f t="shared" si="13"/>
        <v>7.0177148565998201E-2</v>
      </c>
      <c r="AG13" s="64">
        <f t="shared" si="13"/>
        <v>7.5050561660859189E-2</v>
      </c>
      <c r="AH13" s="64">
        <f t="shared" si="13"/>
        <v>0</v>
      </c>
      <c r="AI13">
        <f>SUM(Q13:X13)</f>
        <v>4103.8999999999996</v>
      </c>
      <c r="AJ13">
        <v>17575</v>
      </c>
      <c r="AK13">
        <f>AJ13-AI13</f>
        <v>13471.1</v>
      </c>
      <c r="AO13" s="3" t="str">
        <f t="shared" si="2"/>
        <v>EWind</v>
      </c>
      <c r="AP13" s="58" t="s">
        <v>481</v>
      </c>
      <c r="AQ13" s="459" t="str" cm="1">
        <f t="array" ref="AQ13">INDEX($C$1:$N$1,1,AQ$3)</f>
        <v>MATSTL</v>
      </c>
      <c r="AR13" s="3">
        <v>3</v>
      </c>
      <c r="AS13" s="3" cm="1">
        <f t="array" ref="AS13">INDEX($C13:$N13,1,AQ$3)</f>
        <v>178</v>
      </c>
      <c r="AT13" s="457">
        <f>AS13*(1/(1+$AQ$1))^(AT$5-AS$5)</f>
        <v>156.40194267049239</v>
      </c>
      <c r="AU13" s="457">
        <f>AT13*(1/(1+$AQ$1))^(AU$5-AT$5)</f>
        <v>128.1783472656127</v>
      </c>
      <c r="AW13" s="3" t="str">
        <f t="shared" si="3"/>
        <v>EWind</v>
      </c>
      <c r="AX13" s="58" t="s">
        <v>481</v>
      </c>
      <c r="AY13" s="459" t="str" cm="1">
        <f t="array" ref="AY13">INDEX($C$1:$N$1,1,AY$3)</f>
        <v>MATCEM</v>
      </c>
      <c r="AZ13" s="3">
        <v>3</v>
      </c>
      <c r="BA13" s="3" cm="1">
        <f t="array" ref="BA13">INDEX($C13:$N13,1,AY$3)</f>
        <v>71.400000000000006</v>
      </c>
      <c r="BB13" s="457">
        <f>BA13*(1/(1+$AQ$1))^(BB$5-BA$5)</f>
        <v>62.736509588051447</v>
      </c>
      <c r="BC13" s="457">
        <f>BB13*(1/(1+$AQ$1))^(BC$5-BB$5)</f>
        <v>51.415359521150265</v>
      </c>
      <c r="BE13" s="3" t="str">
        <f t="shared" si="4"/>
        <v>EWind</v>
      </c>
      <c r="BF13" s="58" t="s">
        <v>481</v>
      </c>
      <c r="BG13" s="459" t="str" cm="1">
        <f t="array" ref="BG13">INDEX($C$1:$N$1,1,BG$3)</f>
        <v>MATALU</v>
      </c>
      <c r="BH13" s="3">
        <v>3</v>
      </c>
      <c r="BI13" s="3" cm="1">
        <f t="array" ref="BI13">INDEX($C13:$N13,1,BG$3)</f>
        <v>1.4</v>
      </c>
      <c r="BJ13" s="457">
        <f>BI13*(1/(1+$AQ$1))^(BJ$5-BI$5)</f>
        <v>1.2301276389814009</v>
      </c>
      <c r="BK13" s="457">
        <f>BJ13*(1/(1+$AQ$1))^(BK$5-BJ$5)</f>
        <v>1.0081443043362797</v>
      </c>
      <c r="BM13" s="3" t="str">
        <f t="shared" si="5"/>
        <v>EWind</v>
      </c>
      <c r="BN13" s="58" t="s">
        <v>481</v>
      </c>
      <c r="BO13" s="459" t="str" cm="1">
        <f t="array" ref="BO13">INDEX($C$1:$N$1,1,BO$3)</f>
        <v>MATGLS</v>
      </c>
      <c r="BP13" s="3">
        <v>3</v>
      </c>
      <c r="BQ13" s="3" cm="1">
        <f t="array" ref="BQ13">INDEX($C13:$N13,1,BO$3)</f>
        <v>8.1999999999999993</v>
      </c>
      <c r="BR13" s="457">
        <f>BQ13*(1/(1+$AQ$1))^(BR$5-BQ$5)</f>
        <v>7.2050333140339182</v>
      </c>
      <c r="BS13" s="457">
        <f>BR13*(1/(1+$AQ$1))^(BS$5-BR$5)</f>
        <v>5.9048452111124936</v>
      </c>
      <c r="BU13" s="3" t="str">
        <f t="shared" si="6"/>
        <v>EWind</v>
      </c>
      <c r="BV13" s="58" t="s">
        <v>481</v>
      </c>
      <c r="BW13" s="459" t="str" cm="1">
        <f t="array" ref="BW13">INDEX($C$1:$N$1,1,BW$3)</f>
        <v>MATPLT</v>
      </c>
      <c r="BX13" s="3">
        <v>3</v>
      </c>
      <c r="BY13" s="3" cm="1">
        <f t="array" ref="BY13">INDEX($C13:$N13,1,BW$3)</f>
        <v>2.9</v>
      </c>
      <c r="BZ13" s="457">
        <f>BY13*(1/(1+$AQ$1))^(BZ$5-BY$5)</f>
        <v>2.5481215378900446</v>
      </c>
      <c r="CA13" s="457">
        <f>BZ13*(1/(1+$AQ$1))^(CA$5-BZ$5)</f>
        <v>2.0882989161251504</v>
      </c>
      <c r="CC13" s="3" t="str">
        <f t="shared" si="7"/>
        <v>EWind</v>
      </c>
      <c r="CD13" s="58" t="s">
        <v>481</v>
      </c>
      <c r="CE13" s="459" t="str" cm="1">
        <f t="array" ref="CE13">INDEX($C$1:$N$1,1,CE$3)</f>
        <v>MATCOP</v>
      </c>
      <c r="CF13" s="3">
        <v>3</v>
      </c>
      <c r="CG13" s="3" cm="1">
        <f t="array" ref="CG13">INDEX($C13:$N13,1,CE$3)</f>
        <v>2</v>
      </c>
      <c r="CH13" s="457">
        <f>CG13*(1/(1+$AQ$1))^(CH$5-CG$5)</f>
        <v>1.7573251985448584</v>
      </c>
      <c r="CI13" s="457">
        <f>CH13*(1/(1+$AQ$1))^(CI$5-CH$5)</f>
        <v>1.4402061490518281</v>
      </c>
      <c r="CK13" s="3" t="str">
        <f t="shared" si="8"/>
        <v>EWind</v>
      </c>
      <c r="CL13" s="58" t="s">
        <v>481</v>
      </c>
      <c r="CM13" s="459" t="str" cm="1">
        <f t="array" ref="CM13">INDEX($C$1:$N$1,1,CM$3)</f>
        <v>MATNIC</v>
      </c>
      <c r="CN13" s="3">
        <v>3</v>
      </c>
      <c r="CO13" s="3"/>
      <c r="CP13" s="457"/>
      <c r="CQ13" s="457"/>
      <c r="CT13" s="3" t="str">
        <f t="shared" si="9"/>
        <v>EWind</v>
      </c>
      <c r="CU13" s="58" t="s">
        <v>481</v>
      </c>
      <c r="CV13" s="459" t="str" cm="1">
        <f t="array" ref="CV13">INDEX($C$1:$N$1,1,CV$3)</f>
        <v>MATMNG</v>
      </c>
      <c r="CW13" s="3">
        <v>3</v>
      </c>
      <c r="CX13" s="3"/>
      <c r="CY13" s="457"/>
      <c r="CZ13" s="457"/>
      <c r="DB13" s="3" t="str">
        <f t="shared" si="10"/>
        <v>EWind</v>
      </c>
      <c r="DC13" s="58" t="s">
        <v>481</v>
      </c>
      <c r="DD13" s="459" t="str" cm="1">
        <f t="array" ref="DD13">INDEX($C$1:$N$1,1,DD$3)</f>
        <v>MATCOB</v>
      </c>
      <c r="DE13" s="3">
        <v>3</v>
      </c>
      <c r="DF13" s="3"/>
      <c r="DG13" s="457"/>
      <c r="DH13" s="457"/>
      <c r="DK13" s="3" t="str">
        <f t="shared" si="11"/>
        <v>EWind</v>
      </c>
      <c r="DL13" s="58" t="s">
        <v>481</v>
      </c>
      <c r="DM13" s="459" t="str" cm="1">
        <f t="array" ref="DM13">INDEX($C$1:$N$1,1,DM$3)</f>
        <v>MATLIT</v>
      </c>
      <c r="DN13" s="3">
        <v>3</v>
      </c>
      <c r="DO13" s="3"/>
      <c r="DP13" s="457"/>
      <c r="DQ13" s="457"/>
    </row>
    <row r="14" spans="1:121" ht="15" x14ac:dyDescent="0.25">
      <c r="A14" t="s">
        <v>1335</v>
      </c>
      <c r="C14">
        <f>SUMIFS($AF$70:$AF$83,$V$70:$V$83,C$5)</f>
        <v>1.3846153846153848</v>
      </c>
      <c r="D14">
        <f>SUMIFS($AF$70:$AF$83,$V$70:$V$83,D$5)</f>
        <v>0</v>
      </c>
      <c r="E14">
        <f>SUMIFS($AF$70:$AF$83,$V$70:$V$83,E$5)</f>
        <v>5.3076923076923075</v>
      </c>
      <c r="F14">
        <f>SUMIFS($AF$70:$AF$83,$V$70:$V$83,F$5)</f>
        <v>0</v>
      </c>
      <c r="G14">
        <f>SUMIFS($AF$70:$AF$83,$V$70:$V$83,G$5)</f>
        <v>1.6923076923076923</v>
      </c>
      <c r="H14">
        <f>SUMIFS($AF$70:$AF$83,$V$70:$V$83,H$5)</f>
        <v>2.1846153846153848</v>
      </c>
      <c r="I14">
        <f>SUMIFS($AF$70:$AF$83,$V$70:$V$83,I$5)</f>
        <v>0.47692307692307695</v>
      </c>
      <c r="J14">
        <f>SUMIFS($AF$70:$AF$83,$V$70:$V$83,J$5)</f>
        <v>0.43076923076923079</v>
      </c>
      <c r="K14">
        <f>SUMIFS($AF$70:$AF$83,$V$70:$V$83,K$5)</f>
        <v>0.47692307692307695</v>
      </c>
      <c r="L14">
        <f>SUMIFS($AF$70:$AF$83,$V$70:$V$83,L$5)</f>
        <v>0.15384615384615385</v>
      </c>
      <c r="AO14" s="3" t="str">
        <f t="shared" si="2"/>
        <v>Ebattery_Utility</v>
      </c>
      <c r="AP14" s="58" t="s">
        <v>481</v>
      </c>
      <c r="AQ14" s="459" t="str" cm="1">
        <f t="array" ref="AQ14">INDEX($C$1:$N$1,1,AQ$3)</f>
        <v>MATSTL</v>
      </c>
      <c r="AR14" s="3">
        <v>3</v>
      </c>
      <c r="AS14" s="3" cm="1">
        <f t="array" ref="AS14">INDEX($C14:$N14,1,AQ$3)</f>
        <v>1.3846153846153848</v>
      </c>
      <c r="AT14" s="457">
        <f t="shared" ref="AT14:AU14" si="14">AS14*(1/(1+$AQ$1))^(AT$5-AS$5)</f>
        <v>1.2166097528387483</v>
      </c>
      <c r="AU14" s="457">
        <f t="shared" si="14"/>
        <v>0.99706579549741958</v>
      </c>
      <c r="AW14" s="3" t="str">
        <f t="shared" si="3"/>
        <v>Ebattery_Utility</v>
      </c>
      <c r="AX14" s="58" t="s">
        <v>481</v>
      </c>
      <c r="AY14" s="459" t="str" cm="1">
        <f t="array" ref="AY14">INDEX($C$1:$N$1,1,AY$3)</f>
        <v>MATCEM</v>
      </c>
      <c r="AZ14" s="3">
        <v>3</v>
      </c>
      <c r="BA14" s="3" cm="1">
        <f t="array" ref="BA14">INDEX($C14:$N14,1,AY$3)</f>
        <v>0</v>
      </c>
      <c r="BB14" s="457">
        <f t="shared" ref="BB14:BC14" si="15">BA14*(1/(1+$AQ$1))^(BB$5-BA$5)</f>
        <v>0</v>
      </c>
      <c r="BC14" s="457">
        <f t="shared" si="15"/>
        <v>0</v>
      </c>
      <c r="BE14" s="3" t="str">
        <f t="shared" si="4"/>
        <v>Ebattery_Utility</v>
      </c>
      <c r="BF14" s="58" t="s">
        <v>481</v>
      </c>
      <c r="BG14" s="459" t="str" cm="1">
        <f t="array" ref="BG14">INDEX($C$1:$N$1,1,BG$3)</f>
        <v>MATALU</v>
      </c>
      <c r="BH14" s="3">
        <v>3</v>
      </c>
      <c r="BI14" s="3" cm="1">
        <f t="array" ref="BI14">INDEX($C14:$N14,1,BG$3)</f>
        <v>5.3076923076923075</v>
      </c>
      <c r="BJ14" s="457">
        <f t="shared" ref="BJ14:BK14" si="16">BI14*(1/(1+$AQ$1))^(BJ$5-BI$5)</f>
        <v>4.6636707192152009</v>
      </c>
      <c r="BK14" s="457">
        <f t="shared" si="16"/>
        <v>3.8220855494067743</v>
      </c>
      <c r="BM14" s="3" t="str">
        <f t="shared" si="5"/>
        <v>Ebattery_Utility</v>
      </c>
      <c r="BN14" s="58" t="s">
        <v>481</v>
      </c>
      <c r="BO14" s="459" t="str" cm="1">
        <f t="array" ref="BO14">INDEX($C$1:$N$1,1,BO$3)</f>
        <v>MATGLS</v>
      </c>
      <c r="BP14" s="3">
        <v>3</v>
      </c>
      <c r="BQ14" s="3" cm="1">
        <f t="array" ref="BQ14">INDEX($C14:$N14,1,BO$3)</f>
        <v>0</v>
      </c>
      <c r="BR14" s="457">
        <f t="shared" ref="BR14:BS14" si="17">BQ14*(1/(1+$AQ$1))^(BR$5-BQ$5)</f>
        <v>0</v>
      </c>
      <c r="BS14" s="457">
        <f t="shared" si="17"/>
        <v>0</v>
      </c>
      <c r="BU14" s="3" t="str">
        <f t="shared" si="6"/>
        <v>Ebattery_Utility</v>
      </c>
      <c r="BV14" s="58" t="s">
        <v>481</v>
      </c>
      <c r="BW14" s="459" t="str" cm="1">
        <f t="array" ref="BW14">INDEX($C$1:$N$1,1,BW$3)</f>
        <v>MATPLT</v>
      </c>
      <c r="BX14" s="3">
        <v>3</v>
      </c>
      <c r="BY14" s="3" cm="1">
        <f t="array" ref="BY14">INDEX($C14:$N14,1,BW$3)</f>
        <v>1.6923076923076923</v>
      </c>
      <c r="BZ14" s="457">
        <f t="shared" ref="BZ14:CA14" si="18">BY14*(1/(1+$AQ$1))^(BZ$5-BY$5)</f>
        <v>1.4869674756918032</v>
      </c>
      <c r="CA14" s="457">
        <f t="shared" si="18"/>
        <v>1.2186359722746236</v>
      </c>
      <c r="CC14" s="3" t="str">
        <f t="shared" si="7"/>
        <v>Ebattery_Utility</v>
      </c>
      <c r="CD14" s="58" t="s">
        <v>481</v>
      </c>
      <c r="CE14" s="459" t="str" cm="1">
        <f t="array" ref="CE14">INDEX($C$1:$N$1,1,CE$3)</f>
        <v>MATCOP</v>
      </c>
      <c r="CF14" s="3">
        <v>3</v>
      </c>
      <c r="CG14" s="3" cm="1">
        <f t="array" ref="CG14">INDEX($C14:$N14,1,CE$3)</f>
        <v>2.1846153846153848</v>
      </c>
      <c r="CH14" s="457">
        <f t="shared" ref="CH14:CI14" si="19">CG14*(1/(1+$AQ$1))^(CH$5-CG$5)</f>
        <v>1.9195398322566917</v>
      </c>
      <c r="CI14" s="457">
        <f t="shared" si="19"/>
        <v>1.5731482551181508</v>
      </c>
      <c r="CK14" s="3" t="str">
        <f t="shared" si="8"/>
        <v>Ebattery_Utility</v>
      </c>
      <c r="CL14" s="58" t="s">
        <v>481</v>
      </c>
      <c r="CM14" s="459" t="str" cm="1">
        <f t="array" ref="CM14">INDEX($C$1:$N$1,1,CM$3)</f>
        <v>MATNIC</v>
      </c>
      <c r="CN14" s="3">
        <v>3</v>
      </c>
      <c r="CO14" s="3" cm="1">
        <f t="array" ref="CO14">INDEX($C14:$N14,1,CM$3)</f>
        <v>0.47692307692307695</v>
      </c>
      <c r="CP14" s="457">
        <f t="shared" ref="CP14" si="20">CO14*(1/(1+$AQ$1))^(CP$5-CO$5)</f>
        <v>0.41905447042223548</v>
      </c>
      <c r="CQ14" s="457">
        <f t="shared" ref="CQ14" si="21">CP14*(1/(1+$AQ$1))^(CQ$5-CP$5)</f>
        <v>0.34343377400466668</v>
      </c>
      <c r="CT14" s="3" t="str">
        <f t="shared" si="9"/>
        <v>Ebattery_Utility</v>
      </c>
      <c r="CU14" s="58" t="s">
        <v>481</v>
      </c>
      <c r="CV14" s="459" t="str" cm="1">
        <f t="array" ref="CV14">INDEX($C$1:$N$1,1,CV$3)</f>
        <v>MATMNG</v>
      </c>
      <c r="CW14" s="3">
        <v>3</v>
      </c>
      <c r="CX14" s="3" cm="1">
        <f t="array" ref="CX14">INDEX($C14:$N14,1,CV$3)</f>
        <v>0.43076923076923079</v>
      </c>
      <c r="CY14" s="457">
        <f t="shared" ref="CY14" si="22">CX14*(1/(1+$AQ$1))^(CY$5-CX$5)</f>
        <v>0.37850081199427721</v>
      </c>
      <c r="CZ14" s="457">
        <f t="shared" ref="CZ14" si="23">CY14*(1/(1+$AQ$1))^(CZ$5-CY$5)</f>
        <v>0.31019824748808605</v>
      </c>
      <c r="DB14" s="3" t="str">
        <f t="shared" si="10"/>
        <v>Ebattery_Utility</v>
      </c>
      <c r="DC14" s="58" t="s">
        <v>481</v>
      </c>
      <c r="DD14" s="459" t="str" cm="1">
        <f t="array" ref="DD14">INDEX($C$1:$N$1,1,DD$3)</f>
        <v>MATCOB</v>
      </c>
      <c r="DE14" s="3">
        <v>3</v>
      </c>
      <c r="DF14" s="3" cm="1">
        <f t="array" ref="DF14">INDEX($C14:$N14,1,DD$3)</f>
        <v>0.47692307692307695</v>
      </c>
      <c r="DG14" s="457">
        <f t="shared" ref="DG14" si="24">DF14*(1/(1+$AQ$1))^(DG$5-DF$5)</f>
        <v>0.41905447042223548</v>
      </c>
      <c r="DH14" s="457">
        <f t="shared" ref="DH14" si="25">DG14*(1/(1+$AQ$1))^(DH$5-DG$5)</f>
        <v>0.34343377400466668</v>
      </c>
      <c r="DK14" s="3" t="str">
        <f t="shared" si="11"/>
        <v>Ebattery_Utility</v>
      </c>
      <c r="DL14" s="58" t="s">
        <v>481</v>
      </c>
      <c r="DM14" s="459" t="str" cm="1">
        <f t="array" ref="DM14">INDEX($C$1:$N$1,1,DM$3)</f>
        <v>MATLIT</v>
      </c>
      <c r="DN14" s="3">
        <v>3</v>
      </c>
      <c r="DO14" s="3" cm="1">
        <f t="array" ref="DO14">INDEX($C14:$N14,1,DM$3)</f>
        <v>0.15384615384615385</v>
      </c>
      <c r="DP14" s="457">
        <f t="shared" ref="DP14" si="26">DO14*(1/(1+$AQ$1))^(DP$5-DO$5)</f>
        <v>0.13517886142652757</v>
      </c>
      <c r="DQ14" s="457">
        <f t="shared" ref="DQ14" si="27">DP14*(1/(1+$AQ$1))^(DQ$5-DP$5)</f>
        <v>0.11078508838860215</v>
      </c>
    </row>
    <row r="15" spans="1:121" ht="15" x14ac:dyDescent="0.25">
      <c r="A15" t="s">
        <v>483</v>
      </c>
      <c r="C15">
        <v>68</v>
      </c>
      <c r="D15">
        <v>35.5</v>
      </c>
      <c r="E15">
        <v>0.8</v>
      </c>
      <c r="F15">
        <v>0</v>
      </c>
      <c r="G15">
        <v>0</v>
      </c>
      <c r="H15">
        <v>1.18</v>
      </c>
      <c r="Q15">
        <f>Q$3*C15/1000</f>
        <v>1224</v>
      </c>
      <c r="R15">
        <f>R$3*D15/1000</f>
        <v>35.5</v>
      </c>
      <c r="S15">
        <f>S$3*E15/1000</f>
        <v>33.6</v>
      </c>
      <c r="T15">
        <f>T$3*F15/1000</f>
        <v>0</v>
      </c>
      <c r="U15">
        <f>U$3*G15/1000</f>
        <v>0</v>
      </c>
      <c r="V15">
        <f>V$3*H15/1000</f>
        <v>169.92</v>
      </c>
      <c r="W15">
        <f>W$3*M15/1000</f>
        <v>0</v>
      </c>
      <c r="X15">
        <f>X$3*N15/1000</f>
        <v>0</v>
      </c>
      <c r="AA15" s="64">
        <f t="shared" ref="AA15:AH17" si="28">Q15/$AI15</f>
        <v>0.83662561003950731</v>
      </c>
      <c r="AB15" s="64">
        <f t="shared" si="28"/>
        <v>2.4264876761766755E-2</v>
      </c>
      <c r="AC15" s="64">
        <f t="shared" si="28"/>
        <v>2.2966193216770792E-2</v>
      </c>
      <c r="AD15" s="64">
        <f t="shared" si="28"/>
        <v>0</v>
      </c>
      <c r="AE15" s="64">
        <f t="shared" si="28"/>
        <v>0</v>
      </c>
      <c r="AF15" s="64">
        <f t="shared" si="28"/>
        <v>0.11614331998195512</v>
      </c>
      <c r="AG15" s="64">
        <f t="shared" si="28"/>
        <v>0</v>
      </c>
      <c r="AH15" s="64">
        <f t="shared" si="28"/>
        <v>0</v>
      </c>
      <c r="AI15">
        <f>SUM(Q15:X15)</f>
        <v>1463.02</v>
      </c>
      <c r="AO15" s="3" t="str">
        <f t="shared" si="2"/>
        <v>Ecoal</v>
      </c>
      <c r="AP15" s="58" t="s">
        <v>481</v>
      </c>
      <c r="AQ15" s="459" t="str" cm="1">
        <f t="array" ref="AQ15">INDEX($C$1:$N$1,1,AQ$3)</f>
        <v>MATSTL</v>
      </c>
      <c r="AR15" s="3">
        <v>3</v>
      </c>
      <c r="AS15" s="3" cm="1">
        <f t="array" ref="AS15">INDEX($C15:$N15,1,AQ$3)</f>
        <v>68</v>
      </c>
      <c r="AW15" s="3" t="str">
        <f t="shared" si="3"/>
        <v>Ecoal</v>
      </c>
      <c r="AX15" s="58" t="s">
        <v>481</v>
      </c>
      <c r="AY15" s="459" t="str" cm="1">
        <f t="array" ref="AY15">INDEX($C$1:$N$1,1,AY$3)</f>
        <v>MATCEM</v>
      </c>
      <c r="AZ15" s="3">
        <v>3</v>
      </c>
      <c r="BA15" s="3" cm="1">
        <f t="array" ref="BA15">INDEX($C15:$N15,1,AY$3)</f>
        <v>35.5</v>
      </c>
      <c r="BE15" s="3" t="str">
        <f t="shared" si="4"/>
        <v>Ecoal</v>
      </c>
      <c r="BF15" s="58" t="s">
        <v>481</v>
      </c>
      <c r="BG15" s="459" t="str" cm="1">
        <f t="array" ref="BG15">INDEX($C$1:$N$1,1,BG$3)</f>
        <v>MATALU</v>
      </c>
      <c r="BH15" s="3">
        <v>3</v>
      </c>
      <c r="BI15" s="3" cm="1">
        <f t="array" ref="BI15">INDEX($C15:$N15,1,BG$3)</f>
        <v>0.8</v>
      </c>
      <c r="BM15" s="3" t="str">
        <f t="shared" si="5"/>
        <v>Ecoal</v>
      </c>
      <c r="BN15" s="58" t="s">
        <v>481</v>
      </c>
      <c r="BO15" s="459" t="str" cm="1">
        <f t="array" ref="BO15">INDEX($C$1:$N$1,1,BO$3)</f>
        <v>MATGLS</v>
      </c>
      <c r="BP15" s="3">
        <v>3</v>
      </c>
      <c r="BQ15" s="3" cm="1">
        <f t="array" ref="BQ15">INDEX($C15:$N15,1,BO$3)</f>
        <v>0</v>
      </c>
      <c r="BU15" s="3" t="str">
        <f t="shared" si="6"/>
        <v>Ecoal</v>
      </c>
      <c r="BV15" s="58" t="s">
        <v>481</v>
      </c>
      <c r="BW15" s="459" t="str" cm="1">
        <f t="array" ref="BW15">INDEX($C$1:$N$1,1,BW$3)</f>
        <v>MATPLT</v>
      </c>
      <c r="BX15" s="3">
        <v>3</v>
      </c>
      <c r="BY15" s="3" cm="1">
        <f t="array" ref="BY15">INDEX($C15:$N15,1,BW$3)</f>
        <v>0</v>
      </c>
      <c r="CC15" s="3" t="str">
        <f t="shared" si="7"/>
        <v>Ecoal</v>
      </c>
      <c r="CD15" s="58" t="s">
        <v>481</v>
      </c>
      <c r="CE15" s="459" t="str" cm="1">
        <f t="array" ref="CE15">INDEX($C$1:$N$1,1,CE$3)</f>
        <v>MATCOP</v>
      </c>
      <c r="CF15" s="3">
        <v>3</v>
      </c>
      <c r="CG15" s="3" cm="1">
        <f t="array" ref="CG15">INDEX($C15:$N15,1,CE$3)</f>
        <v>1.18</v>
      </c>
      <c r="CK15" s="3" t="str">
        <f t="shared" si="8"/>
        <v>Ecoal</v>
      </c>
      <c r="CL15" s="58" t="s">
        <v>481</v>
      </c>
      <c r="CM15" s="459" t="str" cm="1">
        <f t="array" ref="CM15">INDEX($C$1:$N$1,1,CM$3)</f>
        <v>MATNIC</v>
      </c>
      <c r="CN15" s="3">
        <v>3</v>
      </c>
      <c r="CO15" s="3"/>
      <c r="CT15" s="3" t="str">
        <f t="shared" si="9"/>
        <v>Ecoal</v>
      </c>
      <c r="CU15" s="58" t="s">
        <v>481</v>
      </c>
      <c r="CV15" s="459" t="str" cm="1">
        <f t="array" ref="CV15">INDEX($C$1:$N$1,1,CV$3)</f>
        <v>MATMNG</v>
      </c>
      <c r="CW15" s="3">
        <v>3</v>
      </c>
      <c r="CX15" s="3"/>
      <c r="DB15" s="3" t="str">
        <f t="shared" si="10"/>
        <v>Ecoal</v>
      </c>
      <c r="DC15" s="58" t="s">
        <v>481</v>
      </c>
      <c r="DD15" s="459" t="str" cm="1">
        <f t="array" ref="DD15">INDEX($C$1:$N$1,1,DD$3)</f>
        <v>MATCOB</v>
      </c>
      <c r="DE15" s="3">
        <v>3</v>
      </c>
      <c r="DF15" s="3"/>
      <c r="DK15" s="3" t="str">
        <f t="shared" si="11"/>
        <v>Ecoal</v>
      </c>
      <c r="DL15" s="58" t="s">
        <v>481</v>
      </c>
      <c r="DM15" s="459" t="str" cm="1">
        <f t="array" ref="DM15">INDEX($C$1:$N$1,1,DM$3)</f>
        <v>MATLIT</v>
      </c>
      <c r="DN15" s="3">
        <v>3</v>
      </c>
      <c r="DO15" s="3"/>
    </row>
    <row r="16" spans="1:121" ht="15" x14ac:dyDescent="0.25">
      <c r="A16" t="s">
        <v>30</v>
      </c>
      <c r="C16">
        <v>26.5</v>
      </c>
      <c r="D16">
        <v>6.4</v>
      </c>
      <c r="E16">
        <v>1</v>
      </c>
      <c r="F16">
        <v>0</v>
      </c>
      <c r="G16">
        <v>3.4</v>
      </c>
      <c r="H16">
        <v>1.1499999999999999</v>
      </c>
      <c r="Q16">
        <f>Q$3*C16/1000</f>
        <v>477</v>
      </c>
      <c r="R16">
        <f>R$3*D16/1000</f>
        <v>6.4</v>
      </c>
      <c r="S16">
        <f>S$3*E16/1000</f>
        <v>42</v>
      </c>
      <c r="T16">
        <f>T$3*F16/1000</f>
        <v>0</v>
      </c>
      <c r="U16">
        <f>U$3*G16/1000</f>
        <v>30.6</v>
      </c>
      <c r="V16">
        <f>V$3*H16/1000</f>
        <v>165.6</v>
      </c>
      <c r="W16">
        <f>W$3*M16/1000</f>
        <v>0</v>
      </c>
      <c r="X16">
        <f>X$3*N16/1000</f>
        <v>0</v>
      </c>
      <c r="AA16" s="64">
        <f t="shared" si="28"/>
        <v>0.66103104212860309</v>
      </c>
      <c r="AB16" s="64">
        <f t="shared" si="28"/>
        <v>8.869179600886918E-3</v>
      </c>
      <c r="AC16" s="64">
        <f t="shared" si="28"/>
        <v>5.82039911308204E-2</v>
      </c>
      <c r="AD16" s="64">
        <f t="shared" si="28"/>
        <v>0</v>
      </c>
      <c r="AE16" s="64">
        <f t="shared" si="28"/>
        <v>4.2405764966740575E-2</v>
      </c>
      <c r="AF16" s="64">
        <f t="shared" si="28"/>
        <v>0.22949002217294898</v>
      </c>
      <c r="AG16" s="64">
        <f t="shared" si="28"/>
        <v>0</v>
      </c>
      <c r="AH16" s="64">
        <f t="shared" si="28"/>
        <v>0</v>
      </c>
      <c r="AI16">
        <f>SUM(Q16:X16)</f>
        <v>721.6</v>
      </c>
      <c r="AO16" s="3" t="str">
        <f t="shared" si="2"/>
        <v>EGas</v>
      </c>
      <c r="AP16" s="58" t="s">
        <v>481</v>
      </c>
      <c r="AQ16" s="459" t="str" cm="1">
        <f t="array" ref="AQ16">INDEX($C$1:$N$1,1,AQ$3)</f>
        <v>MATSTL</v>
      </c>
      <c r="AR16" s="3">
        <v>3</v>
      </c>
      <c r="AS16" s="3" cm="1">
        <f t="array" ref="AS16">INDEX($C16:$N16,1,AQ$3)</f>
        <v>26.5</v>
      </c>
      <c r="AW16" s="3" t="str">
        <f t="shared" si="3"/>
        <v>EGas</v>
      </c>
      <c r="AX16" s="58" t="s">
        <v>481</v>
      </c>
      <c r="AY16" s="459" t="str" cm="1">
        <f t="array" ref="AY16">INDEX($C$1:$N$1,1,AY$3)</f>
        <v>MATCEM</v>
      </c>
      <c r="AZ16" s="3">
        <v>3</v>
      </c>
      <c r="BA16" s="3" cm="1">
        <f t="array" ref="BA16">INDEX($C16:$N16,1,AY$3)</f>
        <v>6.4</v>
      </c>
      <c r="BE16" s="3" t="str">
        <f t="shared" si="4"/>
        <v>EGas</v>
      </c>
      <c r="BF16" s="58" t="s">
        <v>481</v>
      </c>
      <c r="BG16" s="459" t="str" cm="1">
        <f t="array" ref="BG16">INDEX($C$1:$N$1,1,BG$3)</f>
        <v>MATALU</v>
      </c>
      <c r="BH16" s="3">
        <v>3</v>
      </c>
      <c r="BI16" s="3" cm="1">
        <f t="array" ref="BI16">INDEX($C16:$N16,1,BG$3)</f>
        <v>1</v>
      </c>
      <c r="BM16" s="3" t="str">
        <f t="shared" si="5"/>
        <v>EGas</v>
      </c>
      <c r="BN16" s="58" t="s">
        <v>481</v>
      </c>
      <c r="BO16" s="459" t="str" cm="1">
        <f t="array" ref="BO16">INDEX($C$1:$N$1,1,BO$3)</f>
        <v>MATGLS</v>
      </c>
      <c r="BP16" s="3">
        <v>3</v>
      </c>
      <c r="BQ16" s="3" cm="1">
        <f t="array" ref="BQ16">INDEX($C16:$N16,1,BO$3)</f>
        <v>0</v>
      </c>
      <c r="BU16" s="3" t="str">
        <f t="shared" si="6"/>
        <v>EGas</v>
      </c>
      <c r="BV16" s="58" t="s">
        <v>481</v>
      </c>
      <c r="BW16" s="459" t="str" cm="1">
        <f t="array" ref="BW16">INDEX($C$1:$N$1,1,BW$3)</f>
        <v>MATPLT</v>
      </c>
      <c r="BX16" s="3">
        <v>3</v>
      </c>
      <c r="BY16" s="3" cm="1">
        <f t="array" ref="BY16">INDEX($C16:$N16,1,BW$3)</f>
        <v>3.4</v>
      </c>
      <c r="CC16" s="3" t="str">
        <f t="shared" si="7"/>
        <v>EGas</v>
      </c>
      <c r="CD16" s="58" t="s">
        <v>481</v>
      </c>
      <c r="CE16" s="459" t="str" cm="1">
        <f t="array" ref="CE16">INDEX($C$1:$N$1,1,CE$3)</f>
        <v>MATCOP</v>
      </c>
      <c r="CF16" s="3">
        <v>3</v>
      </c>
      <c r="CG16" s="3" cm="1">
        <f t="array" ref="CG16">INDEX($C16:$N16,1,CE$3)</f>
        <v>1.1499999999999999</v>
      </c>
      <c r="CK16" s="3" t="str">
        <f t="shared" si="8"/>
        <v>EGas</v>
      </c>
      <c r="CL16" s="58" t="s">
        <v>481</v>
      </c>
      <c r="CM16" s="459" t="str" cm="1">
        <f t="array" ref="CM16">INDEX($C$1:$N$1,1,CM$3)</f>
        <v>MATNIC</v>
      </c>
      <c r="CN16" s="3">
        <v>3</v>
      </c>
      <c r="CO16" s="3"/>
      <c r="CT16" s="3" t="str">
        <f t="shared" si="9"/>
        <v>EGas</v>
      </c>
      <c r="CU16" s="58" t="s">
        <v>481</v>
      </c>
      <c r="CV16" s="459" t="str" cm="1">
        <f t="array" ref="CV16">INDEX($C$1:$N$1,1,CV$3)</f>
        <v>MATMNG</v>
      </c>
      <c r="CW16" s="3">
        <v>3</v>
      </c>
      <c r="CX16" s="3"/>
      <c r="DB16" s="3" t="str">
        <f t="shared" si="10"/>
        <v>EGas</v>
      </c>
      <c r="DC16" s="58" t="s">
        <v>481</v>
      </c>
      <c r="DD16" s="459" t="str" cm="1">
        <f t="array" ref="DD16">INDEX($C$1:$N$1,1,DD$3)</f>
        <v>MATCOB</v>
      </c>
      <c r="DE16" s="3">
        <v>3</v>
      </c>
      <c r="DF16" s="3"/>
      <c r="DK16" s="3" t="str">
        <f t="shared" si="11"/>
        <v>EGas</v>
      </c>
      <c r="DL16" s="58" t="s">
        <v>481</v>
      </c>
      <c r="DM16" s="459" t="str" cm="1">
        <f t="array" ref="DM16">INDEX($C$1:$N$1,1,DM$3)</f>
        <v>MATLIT</v>
      </c>
      <c r="DN16" s="3">
        <v>3</v>
      </c>
      <c r="DO16" s="3"/>
    </row>
    <row r="17" spans="1:119" ht="15" x14ac:dyDescent="0.25">
      <c r="A17" t="s">
        <v>28</v>
      </c>
      <c r="C17">
        <v>61</v>
      </c>
      <c r="D17">
        <v>74.5</v>
      </c>
      <c r="E17">
        <v>0</v>
      </c>
      <c r="F17">
        <v>0</v>
      </c>
      <c r="G17">
        <v>0</v>
      </c>
      <c r="H17">
        <v>1.5</v>
      </c>
      <c r="Q17">
        <f>Q$3*C17/1000</f>
        <v>1098</v>
      </c>
      <c r="R17">
        <f>R$3*D17/1000</f>
        <v>74.5</v>
      </c>
      <c r="S17">
        <f>S$3*E17/1000</f>
        <v>0</v>
      </c>
      <c r="T17">
        <f>T$3*F17/1000</f>
        <v>0</v>
      </c>
      <c r="U17">
        <f>U$3*G17/1000</f>
        <v>0</v>
      </c>
      <c r="V17">
        <f>V$3*H17/1000</f>
        <v>216</v>
      </c>
      <c r="W17">
        <f>W$3*M17/1000</f>
        <v>0</v>
      </c>
      <c r="X17">
        <f>X$3*N17/1000</f>
        <v>0</v>
      </c>
      <c r="AA17" s="64">
        <f t="shared" si="28"/>
        <v>0.79078141879726327</v>
      </c>
      <c r="AB17" s="64">
        <f t="shared" si="28"/>
        <v>5.3655023406553835E-2</v>
      </c>
      <c r="AC17" s="64">
        <f t="shared" si="28"/>
        <v>0</v>
      </c>
      <c r="AD17" s="64">
        <f t="shared" si="28"/>
        <v>0</v>
      </c>
      <c r="AE17" s="64">
        <f t="shared" si="28"/>
        <v>0</v>
      </c>
      <c r="AF17" s="64">
        <f t="shared" si="28"/>
        <v>0.15556355779618294</v>
      </c>
      <c r="AG17" s="64">
        <f t="shared" si="28"/>
        <v>0</v>
      </c>
      <c r="AH17" s="64">
        <f t="shared" si="28"/>
        <v>0</v>
      </c>
      <c r="AI17">
        <f>SUM(Q17:X17)</f>
        <v>1388.5</v>
      </c>
      <c r="AO17" s="3" t="str">
        <f t="shared" si="2"/>
        <v>ENuclear</v>
      </c>
      <c r="AP17" s="58" t="s">
        <v>481</v>
      </c>
      <c r="AQ17" s="459" t="str" cm="1">
        <f t="array" ref="AQ17">INDEX($C$1:$N$1,1,AQ$3)</f>
        <v>MATSTL</v>
      </c>
      <c r="AR17" s="3">
        <v>3</v>
      </c>
      <c r="AS17" s="3" cm="1">
        <f t="array" ref="AS17">INDEX($C17:$N17,1,AQ$3)</f>
        <v>61</v>
      </c>
      <c r="AW17" s="3" t="str">
        <f t="shared" si="3"/>
        <v>ENuclear</v>
      </c>
      <c r="AX17" s="58" t="s">
        <v>481</v>
      </c>
      <c r="AY17" s="459" t="str" cm="1">
        <f t="array" ref="AY17">INDEX($C$1:$N$1,1,AY$3)</f>
        <v>MATCEM</v>
      </c>
      <c r="AZ17" s="3">
        <v>3</v>
      </c>
      <c r="BA17" s="3" cm="1">
        <f t="array" ref="BA17">INDEX($C17:$N17,1,AY$3)</f>
        <v>74.5</v>
      </c>
      <c r="BE17" s="3" t="str">
        <f t="shared" si="4"/>
        <v>ENuclear</v>
      </c>
      <c r="BF17" s="58" t="s">
        <v>481</v>
      </c>
      <c r="BG17" s="459" t="str" cm="1">
        <f t="array" ref="BG17">INDEX($C$1:$N$1,1,BG$3)</f>
        <v>MATALU</v>
      </c>
      <c r="BH17" s="3">
        <v>3</v>
      </c>
      <c r="BI17" s="3" cm="1">
        <f t="array" ref="BI17">INDEX($C17:$N17,1,BG$3)</f>
        <v>0</v>
      </c>
      <c r="BM17" s="3" t="str">
        <f t="shared" si="5"/>
        <v>ENuclear</v>
      </c>
      <c r="BN17" s="58" t="s">
        <v>481</v>
      </c>
      <c r="BO17" s="459" t="str" cm="1">
        <f t="array" ref="BO17">INDEX($C$1:$N$1,1,BO$3)</f>
        <v>MATGLS</v>
      </c>
      <c r="BP17" s="3">
        <v>3</v>
      </c>
      <c r="BQ17" s="3" cm="1">
        <f t="array" ref="BQ17">INDEX($C17:$N17,1,BO$3)</f>
        <v>0</v>
      </c>
      <c r="BU17" s="3" t="str">
        <f t="shared" si="6"/>
        <v>ENuclear</v>
      </c>
      <c r="BV17" s="58" t="s">
        <v>481</v>
      </c>
      <c r="BW17" s="459" t="str" cm="1">
        <f t="array" ref="BW17">INDEX($C$1:$N$1,1,BW$3)</f>
        <v>MATPLT</v>
      </c>
      <c r="BX17" s="3">
        <v>3</v>
      </c>
      <c r="BY17" s="3" cm="1">
        <f t="array" ref="BY17">INDEX($C17:$N17,1,BW$3)</f>
        <v>0</v>
      </c>
      <c r="CC17" s="3" t="str">
        <f t="shared" si="7"/>
        <v>ENuclear</v>
      </c>
      <c r="CD17" s="58" t="s">
        <v>481</v>
      </c>
      <c r="CE17" s="459" t="str" cm="1">
        <f t="array" ref="CE17">INDEX($C$1:$N$1,1,CE$3)</f>
        <v>MATCOP</v>
      </c>
      <c r="CF17" s="3">
        <v>3</v>
      </c>
      <c r="CG17" s="3" cm="1">
        <f t="array" ref="CG17">INDEX($C17:$N17,1,CE$3)</f>
        <v>1.5</v>
      </c>
      <c r="CK17" s="3" t="str">
        <f t="shared" si="8"/>
        <v>ENuclear</v>
      </c>
      <c r="CL17" s="58" t="s">
        <v>481</v>
      </c>
      <c r="CM17" s="459" t="str" cm="1">
        <f t="array" ref="CM17">INDEX($C$1:$N$1,1,CM$3)</f>
        <v>MATNIC</v>
      </c>
      <c r="CN17" s="3">
        <v>3</v>
      </c>
      <c r="CO17" s="3"/>
      <c r="CT17" s="3" t="str">
        <f t="shared" si="9"/>
        <v>ENuclear</v>
      </c>
      <c r="CU17" s="58" t="s">
        <v>481</v>
      </c>
      <c r="CV17" s="459" t="str" cm="1">
        <f t="array" ref="CV17">INDEX($C$1:$N$1,1,CV$3)</f>
        <v>MATMNG</v>
      </c>
      <c r="CW17" s="3">
        <v>3</v>
      </c>
      <c r="CX17" s="3"/>
      <c r="DB17" s="3" t="str">
        <f t="shared" si="10"/>
        <v>ENuclear</v>
      </c>
      <c r="DC17" s="58" t="s">
        <v>481</v>
      </c>
      <c r="DD17" s="459" t="str" cm="1">
        <f t="array" ref="DD17">INDEX($C$1:$N$1,1,DD$3)</f>
        <v>MATCOB</v>
      </c>
      <c r="DE17" s="3">
        <v>3</v>
      </c>
      <c r="DF17" s="3"/>
      <c r="DK17" s="3" t="str">
        <f t="shared" si="11"/>
        <v>ENuclear</v>
      </c>
      <c r="DL17" s="58" t="s">
        <v>481</v>
      </c>
      <c r="DM17" s="459" t="str" cm="1">
        <f t="array" ref="DM17">INDEX($C$1:$N$1,1,DM$3)</f>
        <v>MATLIT</v>
      </c>
      <c r="DN17" s="3">
        <v>3</v>
      </c>
      <c r="DO17" s="3"/>
    </row>
    <row r="18" spans="1:119" ht="15" x14ac:dyDescent="0.25">
      <c r="A18" t="s">
        <v>26</v>
      </c>
      <c r="C18">
        <f>C16</f>
        <v>26.5</v>
      </c>
      <c r="D18">
        <f t="shared" ref="D18:H18" si="29">D16</f>
        <v>6.4</v>
      </c>
      <c r="E18">
        <f t="shared" si="29"/>
        <v>1</v>
      </c>
      <c r="F18">
        <f t="shared" si="29"/>
        <v>0</v>
      </c>
      <c r="G18">
        <f t="shared" si="29"/>
        <v>3.4</v>
      </c>
      <c r="H18">
        <f t="shared" si="29"/>
        <v>1.1499999999999999</v>
      </c>
      <c r="AO18" s="3" t="str">
        <f t="shared" si="2"/>
        <v>EOil</v>
      </c>
      <c r="AP18" s="58" t="s">
        <v>481</v>
      </c>
      <c r="AQ18" s="459" t="str" cm="1">
        <f t="array" ref="AQ18">INDEX($C$1:$N$1,1,AQ$3)</f>
        <v>MATSTL</v>
      </c>
      <c r="AR18" s="3">
        <v>3</v>
      </c>
      <c r="AS18" s="3" cm="1">
        <f t="array" ref="AS18">INDEX($C18:$N18,1,AQ$3)</f>
        <v>26.5</v>
      </c>
      <c r="AW18" s="3" t="str">
        <f t="shared" si="3"/>
        <v>EOil</v>
      </c>
      <c r="AX18" s="58" t="s">
        <v>481</v>
      </c>
      <c r="AY18" s="459" t="str" cm="1">
        <f t="array" ref="AY18">INDEX($C$1:$N$1,1,AY$3)</f>
        <v>MATCEM</v>
      </c>
      <c r="AZ18" s="3">
        <v>3</v>
      </c>
      <c r="BA18" s="3" cm="1">
        <f t="array" ref="BA18">INDEX($C18:$N18,1,AY$3)</f>
        <v>6.4</v>
      </c>
      <c r="BE18" s="3" t="str">
        <f t="shared" si="4"/>
        <v>EOil</v>
      </c>
      <c r="BF18" s="58" t="s">
        <v>481</v>
      </c>
      <c r="BG18" s="459" t="str" cm="1">
        <f t="array" ref="BG18">INDEX($C$1:$N$1,1,BG$3)</f>
        <v>MATALU</v>
      </c>
      <c r="BH18" s="3">
        <v>3</v>
      </c>
      <c r="BI18" s="3" cm="1">
        <f t="array" ref="BI18">INDEX($C18:$N18,1,BG$3)</f>
        <v>1</v>
      </c>
      <c r="BM18" s="3" t="str">
        <f t="shared" si="5"/>
        <v>EOil</v>
      </c>
      <c r="BN18" s="58" t="s">
        <v>481</v>
      </c>
      <c r="BO18" s="459" t="str" cm="1">
        <f t="array" ref="BO18">INDEX($C$1:$N$1,1,BO$3)</f>
        <v>MATGLS</v>
      </c>
      <c r="BP18" s="3">
        <v>3</v>
      </c>
      <c r="BQ18" s="3" cm="1">
        <f t="array" ref="BQ18">INDEX($C18:$N18,1,BO$3)</f>
        <v>0</v>
      </c>
      <c r="BU18" s="3" t="str">
        <f t="shared" si="6"/>
        <v>EOil</v>
      </c>
      <c r="BV18" s="58" t="s">
        <v>481</v>
      </c>
      <c r="BW18" s="459" t="str" cm="1">
        <f t="array" ref="BW18">INDEX($C$1:$N$1,1,BW$3)</f>
        <v>MATPLT</v>
      </c>
      <c r="BX18" s="3">
        <v>3</v>
      </c>
      <c r="BY18" s="3" cm="1">
        <f t="array" ref="BY18">INDEX($C18:$N18,1,BW$3)</f>
        <v>3.4</v>
      </c>
      <c r="CC18" s="3" t="str">
        <f t="shared" si="7"/>
        <v>EOil</v>
      </c>
      <c r="CD18" s="58" t="s">
        <v>481</v>
      </c>
      <c r="CE18" s="459" t="str" cm="1">
        <f t="array" ref="CE18">INDEX($C$1:$N$1,1,CE$3)</f>
        <v>MATCOP</v>
      </c>
      <c r="CF18" s="3">
        <v>3</v>
      </c>
      <c r="CG18" s="3" cm="1">
        <f t="array" ref="CG18">INDEX($C18:$N18,1,CE$3)</f>
        <v>1.1499999999999999</v>
      </c>
      <c r="CK18" s="3" t="str">
        <f t="shared" si="8"/>
        <v>EOil</v>
      </c>
      <c r="CL18" s="58" t="s">
        <v>481</v>
      </c>
      <c r="CM18" s="459" t="str" cm="1">
        <f t="array" ref="CM18">INDEX($C$1:$N$1,1,CM$3)</f>
        <v>MATNIC</v>
      </c>
      <c r="CN18" s="3">
        <v>3</v>
      </c>
      <c r="CO18" s="3"/>
      <c r="CT18" s="3" t="str">
        <f t="shared" si="9"/>
        <v>EOil</v>
      </c>
      <c r="CU18" s="58" t="s">
        <v>481</v>
      </c>
      <c r="CV18" s="459" t="str" cm="1">
        <f t="array" ref="CV18">INDEX($C$1:$N$1,1,CV$3)</f>
        <v>MATMNG</v>
      </c>
      <c r="CW18" s="3">
        <v>3</v>
      </c>
      <c r="CX18" s="3"/>
      <c r="DB18" s="3" t="str">
        <f t="shared" si="10"/>
        <v>EOil</v>
      </c>
      <c r="DC18" s="58" t="s">
        <v>481</v>
      </c>
      <c r="DD18" s="459" t="str" cm="1">
        <f t="array" ref="DD18">INDEX($C$1:$N$1,1,DD$3)</f>
        <v>MATCOB</v>
      </c>
      <c r="DE18" s="3">
        <v>3</v>
      </c>
      <c r="DF18" s="3"/>
      <c r="DK18" s="3" t="str">
        <f t="shared" si="11"/>
        <v>EOil</v>
      </c>
      <c r="DL18" s="58" t="s">
        <v>481</v>
      </c>
      <c r="DM18" s="459" t="str" cm="1">
        <f t="array" ref="DM18">INDEX($C$1:$N$1,1,DM$3)</f>
        <v>MATLIT</v>
      </c>
      <c r="DN18" s="3">
        <v>3</v>
      </c>
      <c r="DO18" s="3"/>
    </row>
    <row r="19" spans="1:119" ht="15" x14ac:dyDescent="0.25">
      <c r="A19" t="s">
        <v>211</v>
      </c>
      <c r="C19" s="458">
        <f>'IEA ETP23 materials'!S99*D27/D26</f>
        <v>25.446837209302323</v>
      </c>
      <c r="E19" s="458">
        <f>'IEA ETP23 materials'!T99*D27/D26</f>
        <v>4.2411395348837209</v>
      </c>
      <c r="H19">
        <f>'IEA ETP23 materials'!S84*D27/D26</f>
        <v>11.566744186046511</v>
      </c>
      <c r="AO19" s="3" t="str">
        <f t="shared" si="2"/>
        <v>Etrans</v>
      </c>
      <c r="AP19" s="58" t="s">
        <v>481</v>
      </c>
      <c r="AQ19" s="459" t="str" cm="1">
        <f t="array" ref="AQ19">INDEX($C$1:$N$1,1,AQ$3)</f>
        <v>MATSTL</v>
      </c>
      <c r="AR19" s="3">
        <v>3</v>
      </c>
      <c r="AS19" s="3" cm="1">
        <f t="array" ref="AS19">INDEX($C19:$N19,1,AQ$3)</f>
        <v>25.446837209302323</v>
      </c>
      <c r="AW19" s="3" t="str">
        <f t="shared" si="3"/>
        <v>Etrans</v>
      </c>
      <c r="AX19" s="58" t="s">
        <v>481</v>
      </c>
      <c r="AY19" s="459" t="str" cm="1">
        <f t="array" ref="AY19">INDEX($C$1:$N$1,1,AY$3)</f>
        <v>MATCEM</v>
      </c>
      <c r="AZ19" s="3">
        <v>3</v>
      </c>
      <c r="BA19" s="3" cm="1">
        <f t="array" ref="BA19">INDEX($C19:$N19,1,AY$3)</f>
        <v>0</v>
      </c>
      <c r="BE19" s="3" t="str">
        <f t="shared" si="4"/>
        <v>Etrans</v>
      </c>
      <c r="BF19" s="58" t="s">
        <v>481</v>
      </c>
      <c r="BG19" s="459" t="str" cm="1">
        <f t="array" ref="BG19">INDEX($C$1:$N$1,1,BG$3)</f>
        <v>MATALU</v>
      </c>
      <c r="BH19" s="3">
        <v>3</v>
      </c>
      <c r="BI19" s="3" cm="1">
        <f t="array" ref="BI19">INDEX($C19:$N19,1,BG$3)</f>
        <v>4.2411395348837209</v>
      </c>
      <c r="BM19" s="3" t="str">
        <f t="shared" si="5"/>
        <v>Etrans</v>
      </c>
      <c r="BN19" s="58" t="s">
        <v>481</v>
      </c>
      <c r="BO19" s="459" t="str" cm="1">
        <f t="array" ref="BO19">INDEX($C$1:$N$1,1,BO$3)</f>
        <v>MATGLS</v>
      </c>
      <c r="BP19" s="3">
        <v>3</v>
      </c>
      <c r="BQ19" s="3" cm="1">
        <f t="array" ref="BQ19">INDEX($C19:$N19,1,BO$3)</f>
        <v>0</v>
      </c>
      <c r="BU19" s="3" t="str">
        <f t="shared" si="6"/>
        <v>Etrans</v>
      </c>
      <c r="BV19" s="58" t="s">
        <v>481</v>
      </c>
      <c r="BW19" s="459" t="str" cm="1">
        <f t="array" ref="BW19">INDEX($C$1:$N$1,1,BW$3)</f>
        <v>MATPLT</v>
      </c>
      <c r="BX19" s="3">
        <v>3</v>
      </c>
      <c r="BY19" s="3" cm="1">
        <f t="array" ref="BY19">INDEX($C19:$N19,1,BW$3)</f>
        <v>0</v>
      </c>
      <c r="CC19" s="3" t="str">
        <f t="shared" si="7"/>
        <v>Etrans</v>
      </c>
      <c r="CD19" s="58" t="s">
        <v>481</v>
      </c>
      <c r="CE19" s="459" t="str" cm="1">
        <f t="array" ref="CE19">INDEX($C$1:$N$1,1,CE$3)</f>
        <v>MATCOP</v>
      </c>
      <c r="CF19" s="3">
        <v>3</v>
      </c>
      <c r="CG19" s="3" cm="1">
        <f t="array" ref="CG19">INDEX($C19:$N19,1,CE$3)</f>
        <v>11.566744186046511</v>
      </c>
      <c r="CK19" s="3" t="str">
        <f t="shared" si="8"/>
        <v>Etrans</v>
      </c>
      <c r="CL19" s="58" t="s">
        <v>481</v>
      </c>
      <c r="CM19" s="459" t="str" cm="1">
        <f t="array" ref="CM19">INDEX($C$1:$N$1,1,CM$3)</f>
        <v>MATNIC</v>
      </c>
      <c r="CN19" s="3">
        <v>3</v>
      </c>
      <c r="CO19" s="3"/>
      <c r="CT19" s="3" t="str">
        <f t="shared" si="9"/>
        <v>Etrans</v>
      </c>
      <c r="CU19" s="58" t="s">
        <v>481</v>
      </c>
      <c r="CV19" s="459" t="str" cm="1">
        <f t="array" ref="CV19">INDEX($C$1:$N$1,1,CV$3)</f>
        <v>MATMNG</v>
      </c>
      <c r="CW19" s="3">
        <v>3</v>
      </c>
      <c r="CX19" s="3"/>
      <c r="DB19" s="3" t="str">
        <f t="shared" si="10"/>
        <v>Etrans</v>
      </c>
      <c r="DC19" s="58" t="s">
        <v>481</v>
      </c>
      <c r="DD19" s="459" t="str" cm="1">
        <f t="array" ref="DD19">INDEX($C$1:$N$1,1,DD$3)</f>
        <v>MATCOB</v>
      </c>
      <c r="DE19" s="3">
        <v>3</v>
      </c>
      <c r="DF19" s="3"/>
      <c r="DK19" s="3" t="str">
        <f t="shared" si="11"/>
        <v>Etrans</v>
      </c>
      <c r="DL19" s="58" t="s">
        <v>481</v>
      </c>
      <c r="DM19" s="459" t="str" cm="1">
        <f t="array" ref="DM19">INDEX($C$1:$N$1,1,DM$3)</f>
        <v>MATLIT</v>
      </c>
      <c r="DN19" s="3">
        <v>3</v>
      </c>
      <c r="DO19" s="3"/>
    </row>
    <row r="20" spans="1:119" ht="15" x14ac:dyDescent="0.25">
      <c r="A20" t="s">
        <v>473</v>
      </c>
      <c r="H20" s="457">
        <f>'IEA ETP23 materials'!S85*E26/E27</f>
        <v>29.289301310043673</v>
      </c>
      <c r="AO20" s="3" t="str">
        <f t="shared" si="2"/>
        <v>Edist_Residential</v>
      </c>
      <c r="AP20" s="58" t="s">
        <v>481</v>
      </c>
      <c r="AQ20" s="459" t="str" cm="1">
        <f t="array" ref="AQ20">INDEX($C$1:$N$1,1,AQ$3)</f>
        <v>MATSTL</v>
      </c>
      <c r="AR20" s="3">
        <v>3</v>
      </c>
      <c r="AS20" s="3" cm="1">
        <f t="array" ref="AS20">INDEX($C20:$N20,1,AQ$3)</f>
        <v>0</v>
      </c>
      <c r="AW20" s="3" t="str">
        <f t="shared" si="3"/>
        <v>Edist_Residential</v>
      </c>
      <c r="AX20" s="58" t="s">
        <v>481</v>
      </c>
      <c r="AY20" s="459" t="str" cm="1">
        <f t="array" ref="AY20">INDEX($C$1:$N$1,1,AY$3)</f>
        <v>MATCEM</v>
      </c>
      <c r="AZ20" s="3">
        <v>3</v>
      </c>
      <c r="BA20" s="3" cm="1">
        <f t="array" ref="BA20">INDEX($C20:$N20,1,AY$3)</f>
        <v>0</v>
      </c>
      <c r="BE20" s="3" t="str">
        <f t="shared" si="4"/>
        <v>Edist_Residential</v>
      </c>
      <c r="BF20" s="58" t="s">
        <v>481</v>
      </c>
      <c r="BG20" s="459" t="str" cm="1">
        <f t="array" ref="BG20">INDEX($C$1:$N$1,1,BG$3)</f>
        <v>MATALU</v>
      </c>
      <c r="BH20" s="3">
        <v>3</v>
      </c>
      <c r="BI20" s="3" cm="1">
        <f t="array" ref="BI20">INDEX($C20:$N20,1,BG$3)</f>
        <v>0</v>
      </c>
      <c r="BM20" s="3" t="str">
        <f t="shared" si="5"/>
        <v>Edist_Residential</v>
      </c>
      <c r="BN20" s="58" t="s">
        <v>481</v>
      </c>
      <c r="BO20" s="459" t="str" cm="1">
        <f t="array" ref="BO20">INDEX($C$1:$N$1,1,BO$3)</f>
        <v>MATGLS</v>
      </c>
      <c r="BP20" s="3">
        <v>3</v>
      </c>
      <c r="BQ20" s="3" cm="1">
        <f t="array" ref="BQ20">INDEX($C20:$N20,1,BO$3)</f>
        <v>0</v>
      </c>
      <c r="BU20" s="3" t="str">
        <f t="shared" si="6"/>
        <v>Edist_Residential</v>
      </c>
      <c r="BV20" s="58" t="s">
        <v>481</v>
      </c>
      <c r="BW20" s="459" t="str" cm="1">
        <f t="array" ref="BW20">INDEX($C$1:$N$1,1,BW$3)</f>
        <v>MATPLT</v>
      </c>
      <c r="BX20" s="3">
        <v>3</v>
      </c>
      <c r="BY20" s="3" cm="1">
        <f t="array" ref="BY20">INDEX($C20:$N20,1,BW$3)</f>
        <v>0</v>
      </c>
      <c r="CC20" s="3" t="str">
        <f t="shared" si="7"/>
        <v>Edist_Residential</v>
      </c>
      <c r="CD20" s="58" t="s">
        <v>481</v>
      </c>
      <c r="CE20" s="459" t="str" cm="1">
        <f t="array" ref="CE20">INDEX($C$1:$N$1,1,CE$3)</f>
        <v>MATCOP</v>
      </c>
      <c r="CF20" s="3">
        <v>3</v>
      </c>
      <c r="CG20" s="3" cm="1">
        <f t="array" ref="CG20">INDEX($C20:$N20,1,CE$3)</f>
        <v>29.289301310043673</v>
      </c>
      <c r="CK20" s="3" t="str">
        <f t="shared" si="8"/>
        <v>Edist_Residential</v>
      </c>
      <c r="CL20" s="58" t="s">
        <v>481</v>
      </c>
      <c r="CM20" s="459" t="str" cm="1">
        <f t="array" ref="CM20">INDEX($C$1:$N$1,1,CM$3)</f>
        <v>MATNIC</v>
      </c>
      <c r="CN20" s="3">
        <v>3</v>
      </c>
      <c r="CO20" s="3"/>
      <c r="CT20" s="3" t="str">
        <f t="shared" si="9"/>
        <v>Edist_Residential</v>
      </c>
      <c r="CU20" s="58" t="s">
        <v>481</v>
      </c>
      <c r="CV20" s="459" t="str" cm="1">
        <f t="array" ref="CV20">INDEX($C$1:$N$1,1,CV$3)</f>
        <v>MATMNG</v>
      </c>
      <c r="CW20" s="3">
        <v>3</v>
      </c>
      <c r="CX20" s="3"/>
      <c r="DB20" s="3" t="str">
        <f t="shared" si="10"/>
        <v>Edist_Residential</v>
      </c>
      <c r="DC20" s="58" t="s">
        <v>481</v>
      </c>
      <c r="DD20" s="459" t="str" cm="1">
        <f t="array" ref="DD20">INDEX($C$1:$N$1,1,DD$3)</f>
        <v>MATCOB</v>
      </c>
      <c r="DE20" s="3">
        <v>3</v>
      </c>
      <c r="DF20" s="3"/>
      <c r="DK20" s="3" t="str">
        <f t="shared" si="11"/>
        <v>Edist_Residential</v>
      </c>
      <c r="DL20" s="58" t="s">
        <v>481</v>
      </c>
      <c r="DM20" s="459" t="str" cm="1">
        <f t="array" ref="DM20">INDEX($C$1:$N$1,1,DM$3)</f>
        <v>MATLIT</v>
      </c>
      <c r="DN20" s="3">
        <v>3</v>
      </c>
      <c r="DO20" s="3"/>
    </row>
    <row r="21" spans="1:119" ht="15" x14ac:dyDescent="0.25">
      <c r="A21" t="s">
        <v>474</v>
      </c>
      <c r="H21" s="457">
        <f>H20</f>
        <v>29.289301310043673</v>
      </c>
      <c r="AO21" s="3" t="str">
        <f t="shared" si="2"/>
        <v>Edist_Agriculture</v>
      </c>
      <c r="AP21" s="58" t="s">
        <v>481</v>
      </c>
      <c r="AQ21" s="459" t="str" cm="1">
        <f t="array" ref="AQ21">INDEX($C$1:$N$1,1,AQ$3)</f>
        <v>MATSTL</v>
      </c>
      <c r="AR21" s="3">
        <v>3</v>
      </c>
      <c r="AS21" s="3" cm="1">
        <f t="array" ref="AS21">INDEX($C21:$N21,1,AQ$3)</f>
        <v>0</v>
      </c>
      <c r="AW21" s="3" t="str">
        <f t="shared" si="3"/>
        <v>Edist_Agriculture</v>
      </c>
      <c r="AX21" s="58" t="s">
        <v>481</v>
      </c>
      <c r="AY21" s="459" t="str" cm="1">
        <f t="array" ref="AY21">INDEX($C$1:$N$1,1,AY$3)</f>
        <v>MATCEM</v>
      </c>
      <c r="AZ21" s="3">
        <v>3</v>
      </c>
      <c r="BA21" s="3" cm="1">
        <f t="array" ref="BA21">INDEX($C21:$N21,1,AY$3)</f>
        <v>0</v>
      </c>
      <c r="BE21" s="3" t="str">
        <f t="shared" si="4"/>
        <v>Edist_Agriculture</v>
      </c>
      <c r="BF21" s="58" t="s">
        <v>481</v>
      </c>
      <c r="BG21" s="459" t="str" cm="1">
        <f t="array" ref="BG21">INDEX($C$1:$N$1,1,BG$3)</f>
        <v>MATALU</v>
      </c>
      <c r="BH21" s="3">
        <v>3</v>
      </c>
      <c r="BI21" s="3" cm="1">
        <f t="array" ref="BI21">INDEX($C21:$N21,1,BG$3)</f>
        <v>0</v>
      </c>
      <c r="BM21" s="3" t="str">
        <f t="shared" si="5"/>
        <v>Edist_Agriculture</v>
      </c>
      <c r="BN21" s="58" t="s">
        <v>481</v>
      </c>
      <c r="BO21" s="459" t="str" cm="1">
        <f t="array" ref="BO21">INDEX($C$1:$N$1,1,BO$3)</f>
        <v>MATGLS</v>
      </c>
      <c r="BP21" s="3">
        <v>3</v>
      </c>
      <c r="BQ21" s="3" cm="1">
        <f t="array" ref="BQ21">INDEX($C21:$N21,1,BO$3)</f>
        <v>0</v>
      </c>
      <c r="BU21" s="3" t="str">
        <f t="shared" si="6"/>
        <v>Edist_Agriculture</v>
      </c>
      <c r="BV21" s="58" t="s">
        <v>481</v>
      </c>
      <c r="BW21" s="459" t="str" cm="1">
        <f t="array" ref="BW21">INDEX($C$1:$N$1,1,BW$3)</f>
        <v>MATPLT</v>
      </c>
      <c r="BX21" s="3">
        <v>3</v>
      </c>
      <c r="BY21" s="3" cm="1">
        <f t="array" ref="BY21">INDEX($C21:$N21,1,BW$3)</f>
        <v>0</v>
      </c>
      <c r="CC21" s="3" t="str">
        <f t="shared" si="7"/>
        <v>Edist_Agriculture</v>
      </c>
      <c r="CD21" s="58" t="s">
        <v>481</v>
      </c>
      <c r="CE21" s="459" t="str" cm="1">
        <f t="array" ref="CE21">INDEX($C$1:$N$1,1,CE$3)</f>
        <v>MATCOP</v>
      </c>
      <c r="CF21" s="3">
        <v>3</v>
      </c>
      <c r="CG21" s="3" cm="1">
        <f t="array" ref="CG21">INDEX($C21:$N21,1,CE$3)</f>
        <v>29.289301310043673</v>
      </c>
      <c r="CK21" s="3" t="str">
        <f t="shared" si="8"/>
        <v>Edist_Agriculture</v>
      </c>
      <c r="CL21" s="58" t="s">
        <v>481</v>
      </c>
      <c r="CM21" s="459" t="str" cm="1">
        <f t="array" ref="CM21">INDEX($C$1:$N$1,1,CM$3)</f>
        <v>MATNIC</v>
      </c>
      <c r="CN21" s="3">
        <v>3</v>
      </c>
      <c r="CO21" s="3"/>
      <c r="CT21" s="3" t="str">
        <f t="shared" si="9"/>
        <v>Edist_Agriculture</v>
      </c>
      <c r="CU21" s="58" t="s">
        <v>481</v>
      </c>
      <c r="CV21" s="459" t="str" cm="1">
        <f t="array" ref="CV21">INDEX($C$1:$N$1,1,CV$3)</f>
        <v>MATMNG</v>
      </c>
      <c r="CW21" s="3">
        <v>3</v>
      </c>
      <c r="CX21" s="3"/>
      <c r="DB21" s="3" t="str">
        <f t="shared" si="10"/>
        <v>Edist_Agriculture</v>
      </c>
      <c r="DC21" s="58" t="s">
        <v>481</v>
      </c>
      <c r="DD21" s="459" t="str" cm="1">
        <f t="array" ref="DD21">INDEX($C$1:$N$1,1,DD$3)</f>
        <v>MATCOB</v>
      </c>
      <c r="DE21" s="3">
        <v>3</v>
      </c>
      <c r="DF21" s="3"/>
      <c r="DK21" s="3" t="str">
        <f t="shared" si="11"/>
        <v>Edist_Agriculture</v>
      </c>
      <c r="DL21" s="58" t="s">
        <v>481</v>
      </c>
      <c r="DM21" s="459" t="str" cm="1">
        <f t="array" ref="DM21">INDEX($C$1:$N$1,1,DM$3)</f>
        <v>MATLIT</v>
      </c>
      <c r="DN21" s="3">
        <v>3</v>
      </c>
      <c r="DO21" s="3"/>
    </row>
    <row r="22" spans="1:119" ht="15" x14ac:dyDescent="0.25">
      <c r="A22" t="s">
        <v>475</v>
      </c>
      <c r="H22" s="457">
        <f t="shared" ref="H22:H24" si="30">H21</f>
        <v>29.289301310043673</v>
      </c>
      <c r="AO22" s="3" t="str">
        <f t="shared" si="2"/>
        <v>Edist_Industry</v>
      </c>
      <c r="AP22" s="58" t="s">
        <v>481</v>
      </c>
      <c r="AQ22" s="459" t="str" cm="1">
        <f t="array" ref="AQ22">INDEX($C$1:$N$1,1,AQ$3)</f>
        <v>MATSTL</v>
      </c>
      <c r="AR22" s="3">
        <v>3</v>
      </c>
      <c r="AS22" s="3" cm="1">
        <f t="array" ref="AS22">INDEX($C22:$N22,1,AQ$3)</f>
        <v>0</v>
      </c>
      <c r="AW22" s="3" t="str">
        <f t="shared" si="3"/>
        <v>Edist_Industry</v>
      </c>
      <c r="AX22" s="58" t="s">
        <v>481</v>
      </c>
      <c r="AY22" s="459" t="str" cm="1">
        <f t="array" ref="AY22">INDEX($C$1:$N$1,1,AY$3)</f>
        <v>MATCEM</v>
      </c>
      <c r="AZ22" s="3">
        <v>3</v>
      </c>
      <c r="BA22" s="3" cm="1">
        <f t="array" ref="BA22">INDEX($C22:$N22,1,AY$3)</f>
        <v>0</v>
      </c>
      <c r="BE22" s="3" t="str">
        <f t="shared" si="4"/>
        <v>Edist_Industry</v>
      </c>
      <c r="BF22" s="58" t="s">
        <v>481</v>
      </c>
      <c r="BG22" s="459" t="str" cm="1">
        <f t="array" ref="BG22">INDEX($C$1:$N$1,1,BG$3)</f>
        <v>MATALU</v>
      </c>
      <c r="BH22" s="3">
        <v>3</v>
      </c>
      <c r="BI22" s="3" cm="1">
        <f t="array" ref="BI22">INDEX($C22:$N22,1,BG$3)</f>
        <v>0</v>
      </c>
      <c r="BM22" s="3" t="str">
        <f t="shared" si="5"/>
        <v>Edist_Industry</v>
      </c>
      <c r="BN22" s="58" t="s">
        <v>481</v>
      </c>
      <c r="BO22" s="459" t="str" cm="1">
        <f t="array" ref="BO22">INDEX($C$1:$N$1,1,BO$3)</f>
        <v>MATGLS</v>
      </c>
      <c r="BP22" s="3">
        <v>3</v>
      </c>
      <c r="BQ22" s="3" cm="1">
        <f t="array" ref="BQ22">INDEX($C22:$N22,1,BO$3)</f>
        <v>0</v>
      </c>
      <c r="BU22" s="3" t="str">
        <f t="shared" si="6"/>
        <v>Edist_Industry</v>
      </c>
      <c r="BV22" s="58" t="s">
        <v>481</v>
      </c>
      <c r="BW22" s="459" t="str" cm="1">
        <f t="array" ref="BW22">INDEX($C$1:$N$1,1,BW$3)</f>
        <v>MATPLT</v>
      </c>
      <c r="BX22" s="3">
        <v>3</v>
      </c>
      <c r="BY22" s="3" cm="1">
        <f t="array" ref="BY22">INDEX($C22:$N22,1,BW$3)</f>
        <v>0</v>
      </c>
      <c r="CC22" s="3" t="str">
        <f t="shared" si="7"/>
        <v>Edist_Industry</v>
      </c>
      <c r="CD22" s="58" t="s">
        <v>481</v>
      </c>
      <c r="CE22" s="459" t="str" cm="1">
        <f t="array" ref="CE22">INDEX($C$1:$N$1,1,CE$3)</f>
        <v>MATCOP</v>
      </c>
      <c r="CF22" s="3">
        <v>3</v>
      </c>
      <c r="CG22" s="3" cm="1">
        <f t="array" ref="CG22">INDEX($C22:$N22,1,CE$3)</f>
        <v>29.289301310043673</v>
      </c>
      <c r="CK22" s="3" t="str">
        <f t="shared" si="8"/>
        <v>Edist_Industry</v>
      </c>
      <c r="CL22" s="58" t="s">
        <v>481</v>
      </c>
      <c r="CM22" s="459" t="str" cm="1">
        <f t="array" ref="CM22">INDEX($C$1:$N$1,1,CM$3)</f>
        <v>MATNIC</v>
      </c>
      <c r="CN22" s="3">
        <v>3</v>
      </c>
      <c r="CO22" s="3"/>
      <c r="CT22" s="3" t="str">
        <f t="shared" si="9"/>
        <v>Edist_Industry</v>
      </c>
      <c r="CU22" s="58" t="s">
        <v>481</v>
      </c>
      <c r="CV22" s="459" t="str" cm="1">
        <f t="array" ref="CV22">INDEX($C$1:$N$1,1,CV$3)</f>
        <v>MATMNG</v>
      </c>
      <c r="CW22" s="3">
        <v>3</v>
      </c>
      <c r="CX22" s="3"/>
      <c r="DB22" s="3" t="str">
        <f t="shared" si="10"/>
        <v>Edist_Industry</v>
      </c>
      <c r="DC22" s="58" t="s">
        <v>481</v>
      </c>
      <c r="DD22" s="459" t="str" cm="1">
        <f t="array" ref="DD22">INDEX($C$1:$N$1,1,DD$3)</f>
        <v>MATCOB</v>
      </c>
      <c r="DE22" s="3">
        <v>3</v>
      </c>
      <c r="DF22" s="3"/>
      <c r="DK22" s="3" t="str">
        <f t="shared" si="11"/>
        <v>Edist_Industry</v>
      </c>
      <c r="DL22" s="58" t="s">
        <v>481</v>
      </c>
      <c r="DM22" s="459" t="str" cm="1">
        <f t="array" ref="DM22">INDEX($C$1:$N$1,1,DM$3)</f>
        <v>MATLIT</v>
      </c>
      <c r="DN22" s="3">
        <v>3</v>
      </c>
      <c r="DO22" s="3"/>
    </row>
    <row r="23" spans="1:119" ht="15" x14ac:dyDescent="0.25">
      <c r="A23" t="s">
        <v>476</v>
      </c>
      <c r="H23" s="457">
        <f t="shared" si="30"/>
        <v>29.289301310043673</v>
      </c>
      <c r="AO23" s="3" t="str">
        <f t="shared" si="2"/>
        <v>Edist_Commercial</v>
      </c>
      <c r="AP23" s="58" t="s">
        <v>481</v>
      </c>
      <c r="AQ23" s="459" t="str" cm="1">
        <f t="array" ref="AQ23">INDEX($C$1:$N$1,1,AQ$3)</f>
        <v>MATSTL</v>
      </c>
      <c r="AR23" s="3">
        <v>3</v>
      </c>
      <c r="AS23" s="3" cm="1">
        <f t="array" ref="AS23">INDEX($C23:$N23,1,AQ$3)</f>
        <v>0</v>
      </c>
      <c r="AW23" s="3" t="str">
        <f t="shared" si="3"/>
        <v>Edist_Commercial</v>
      </c>
      <c r="AX23" s="58" t="s">
        <v>481</v>
      </c>
      <c r="AY23" s="459" t="str" cm="1">
        <f t="array" ref="AY23">INDEX($C$1:$N$1,1,AY$3)</f>
        <v>MATCEM</v>
      </c>
      <c r="AZ23" s="3">
        <v>3</v>
      </c>
      <c r="BA23" s="3" cm="1">
        <f t="array" ref="BA23">INDEX($C23:$N23,1,AY$3)</f>
        <v>0</v>
      </c>
      <c r="BE23" s="3" t="str">
        <f t="shared" si="4"/>
        <v>Edist_Commercial</v>
      </c>
      <c r="BF23" s="58" t="s">
        <v>481</v>
      </c>
      <c r="BG23" s="459" t="str" cm="1">
        <f t="array" ref="BG23">INDEX($C$1:$N$1,1,BG$3)</f>
        <v>MATALU</v>
      </c>
      <c r="BH23" s="3">
        <v>3</v>
      </c>
      <c r="BI23" s="3" cm="1">
        <f t="array" ref="BI23">INDEX($C23:$N23,1,BG$3)</f>
        <v>0</v>
      </c>
      <c r="BM23" s="3" t="str">
        <f t="shared" si="5"/>
        <v>Edist_Commercial</v>
      </c>
      <c r="BN23" s="58" t="s">
        <v>481</v>
      </c>
      <c r="BO23" s="459" t="str" cm="1">
        <f t="array" ref="BO23">INDEX($C$1:$N$1,1,BO$3)</f>
        <v>MATGLS</v>
      </c>
      <c r="BP23" s="3">
        <v>3</v>
      </c>
      <c r="BQ23" s="3" cm="1">
        <f t="array" ref="BQ23">INDEX($C23:$N23,1,BO$3)</f>
        <v>0</v>
      </c>
      <c r="BU23" s="3" t="str">
        <f t="shared" si="6"/>
        <v>Edist_Commercial</v>
      </c>
      <c r="BV23" s="58" t="s">
        <v>481</v>
      </c>
      <c r="BW23" s="459" t="str" cm="1">
        <f t="array" ref="BW23">INDEX($C$1:$N$1,1,BW$3)</f>
        <v>MATPLT</v>
      </c>
      <c r="BX23" s="3">
        <v>3</v>
      </c>
      <c r="BY23" s="3" cm="1">
        <f t="array" ref="BY23">INDEX($C23:$N23,1,BW$3)</f>
        <v>0</v>
      </c>
      <c r="CC23" s="3" t="str">
        <f t="shared" si="7"/>
        <v>Edist_Commercial</v>
      </c>
      <c r="CD23" s="58" t="s">
        <v>481</v>
      </c>
      <c r="CE23" s="459" t="str" cm="1">
        <f t="array" ref="CE23">INDEX($C$1:$N$1,1,CE$3)</f>
        <v>MATCOP</v>
      </c>
      <c r="CF23" s="3">
        <v>3</v>
      </c>
      <c r="CG23" s="3" cm="1">
        <f t="array" ref="CG23">INDEX($C23:$N23,1,CE$3)</f>
        <v>29.289301310043673</v>
      </c>
      <c r="CK23" s="3" t="str">
        <f t="shared" si="8"/>
        <v>Edist_Commercial</v>
      </c>
      <c r="CL23" s="58" t="s">
        <v>481</v>
      </c>
      <c r="CM23" s="459" t="str" cm="1">
        <f t="array" ref="CM23">INDEX($C$1:$N$1,1,CM$3)</f>
        <v>MATNIC</v>
      </c>
      <c r="CN23" s="3">
        <v>3</v>
      </c>
      <c r="CO23" s="3"/>
      <c r="CT23" s="3" t="str">
        <f t="shared" si="9"/>
        <v>Edist_Commercial</v>
      </c>
      <c r="CU23" s="58" t="s">
        <v>481</v>
      </c>
      <c r="CV23" s="459" t="str" cm="1">
        <f t="array" ref="CV23">INDEX($C$1:$N$1,1,CV$3)</f>
        <v>MATMNG</v>
      </c>
      <c r="CW23" s="3">
        <v>3</v>
      </c>
      <c r="CX23" s="3"/>
      <c r="DB23" s="3" t="str">
        <f t="shared" si="10"/>
        <v>Edist_Commercial</v>
      </c>
      <c r="DC23" s="58" t="s">
        <v>481</v>
      </c>
      <c r="DD23" s="459" t="str" cm="1">
        <f t="array" ref="DD23">INDEX($C$1:$N$1,1,DD$3)</f>
        <v>MATCOB</v>
      </c>
      <c r="DE23" s="3">
        <v>3</v>
      </c>
      <c r="DF23" s="3"/>
      <c r="DK23" s="3" t="str">
        <f t="shared" si="11"/>
        <v>Edist_Commercial</v>
      </c>
      <c r="DL23" s="58" t="s">
        <v>481</v>
      </c>
      <c r="DM23" s="459" t="str" cm="1">
        <f t="array" ref="DM23">INDEX($C$1:$N$1,1,DM$3)</f>
        <v>MATLIT</v>
      </c>
      <c r="DN23" s="3">
        <v>3</v>
      </c>
      <c r="DO23" s="3"/>
    </row>
    <row r="24" spans="1:119" ht="15" x14ac:dyDescent="0.25">
      <c r="A24" t="s">
        <v>477</v>
      </c>
      <c r="H24" s="457">
        <f t="shared" si="30"/>
        <v>29.289301310043673</v>
      </c>
      <c r="AO24" s="3" t="str">
        <f t="shared" si="2"/>
        <v>Edist_Transport</v>
      </c>
      <c r="AP24" s="58" t="s">
        <v>481</v>
      </c>
      <c r="AQ24" s="459" t="str" cm="1">
        <f t="array" ref="AQ24">INDEX($C$1:$N$1,1,AQ$3)</f>
        <v>MATSTL</v>
      </c>
      <c r="AR24" s="3">
        <v>3</v>
      </c>
      <c r="AS24" s="3" cm="1">
        <f t="array" ref="AS24">INDEX($C24:$N24,1,AQ$3)</f>
        <v>0</v>
      </c>
      <c r="AW24" s="3" t="str">
        <f t="shared" si="3"/>
        <v>Edist_Transport</v>
      </c>
      <c r="AX24" s="58" t="s">
        <v>481</v>
      </c>
      <c r="AY24" s="459" t="str" cm="1">
        <f t="array" ref="AY24">INDEX($C$1:$N$1,1,AY$3)</f>
        <v>MATCEM</v>
      </c>
      <c r="AZ24" s="3">
        <v>3</v>
      </c>
      <c r="BA24" s="3" cm="1">
        <f t="array" ref="BA24">INDEX($C24:$N24,1,AY$3)</f>
        <v>0</v>
      </c>
      <c r="BE24" s="3" t="str">
        <f t="shared" si="4"/>
        <v>Edist_Transport</v>
      </c>
      <c r="BF24" s="58" t="s">
        <v>481</v>
      </c>
      <c r="BG24" s="459" t="str" cm="1">
        <f t="array" ref="BG24">INDEX($C$1:$N$1,1,BG$3)</f>
        <v>MATALU</v>
      </c>
      <c r="BH24" s="3">
        <v>3</v>
      </c>
      <c r="BI24" s="3" cm="1">
        <f t="array" ref="BI24">INDEX($C24:$N24,1,BG$3)</f>
        <v>0</v>
      </c>
      <c r="BM24" s="3" t="str">
        <f t="shared" si="5"/>
        <v>Edist_Transport</v>
      </c>
      <c r="BN24" s="58" t="s">
        <v>481</v>
      </c>
      <c r="BO24" s="459" t="str" cm="1">
        <f t="array" ref="BO24">INDEX($C$1:$N$1,1,BO$3)</f>
        <v>MATGLS</v>
      </c>
      <c r="BP24" s="3">
        <v>3</v>
      </c>
      <c r="BQ24" s="3" cm="1">
        <f t="array" ref="BQ24">INDEX($C24:$N24,1,BO$3)</f>
        <v>0</v>
      </c>
      <c r="BU24" s="3" t="str">
        <f t="shared" si="6"/>
        <v>Edist_Transport</v>
      </c>
      <c r="BV24" s="58" t="s">
        <v>481</v>
      </c>
      <c r="BW24" s="459" t="str" cm="1">
        <f t="array" ref="BW24">INDEX($C$1:$N$1,1,BW$3)</f>
        <v>MATPLT</v>
      </c>
      <c r="BX24" s="3">
        <v>3</v>
      </c>
      <c r="BY24" s="3" cm="1">
        <f t="array" ref="BY24">INDEX($C24:$N24,1,BW$3)</f>
        <v>0</v>
      </c>
      <c r="CC24" s="3" t="str">
        <f t="shared" si="7"/>
        <v>Edist_Transport</v>
      </c>
      <c r="CD24" s="58" t="s">
        <v>481</v>
      </c>
      <c r="CE24" s="459" t="str" cm="1">
        <f t="array" ref="CE24">INDEX($C$1:$N$1,1,CE$3)</f>
        <v>MATCOP</v>
      </c>
      <c r="CF24" s="3">
        <v>3</v>
      </c>
      <c r="CG24" s="3" cm="1">
        <f t="array" ref="CG24">INDEX($C24:$N24,1,CE$3)</f>
        <v>29.289301310043673</v>
      </c>
      <c r="CK24" s="3" t="str">
        <f t="shared" si="8"/>
        <v>Edist_Transport</v>
      </c>
      <c r="CL24" s="58" t="s">
        <v>481</v>
      </c>
      <c r="CM24" s="459" t="str" cm="1">
        <f t="array" ref="CM24">INDEX($C$1:$N$1,1,CM$3)</f>
        <v>MATNIC</v>
      </c>
      <c r="CN24" s="3">
        <v>3</v>
      </c>
      <c r="CO24" s="3"/>
      <c r="CT24" s="3" t="str">
        <f t="shared" si="9"/>
        <v>Edist_Transport</v>
      </c>
      <c r="CU24" s="58" t="s">
        <v>481</v>
      </c>
      <c r="CV24" s="459" t="str" cm="1">
        <f t="array" ref="CV24">INDEX($C$1:$N$1,1,CV$3)</f>
        <v>MATMNG</v>
      </c>
      <c r="CW24" s="3">
        <v>3</v>
      </c>
      <c r="CX24" s="3"/>
      <c r="DB24" s="3" t="str">
        <f t="shared" si="10"/>
        <v>Edist_Transport</v>
      </c>
      <c r="DC24" s="58" t="s">
        <v>481</v>
      </c>
      <c r="DD24" s="459" t="str" cm="1">
        <f t="array" ref="DD24">INDEX($C$1:$N$1,1,DD$3)</f>
        <v>MATCOB</v>
      </c>
      <c r="DE24" s="3">
        <v>3</v>
      </c>
      <c r="DF24" s="3"/>
      <c r="DK24" s="3" t="str">
        <f t="shared" si="11"/>
        <v>Edist_Transport</v>
      </c>
      <c r="DL24" s="58" t="s">
        <v>481</v>
      </c>
      <c r="DM24" s="459" t="str" cm="1">
        <f t="array" ref="DM24">INDEX($C$1:$N$1,1,DM$3)</f>
        <v>MATLIT</v>
      </c>
      <c r="DN24" s="3">
        <v>3</v>
      </c>
      <c r="DO24" s="3"/>
    </row>
    <row r="25" spans="1:119" x14ac:dyDescent="0.2">
      <c r="D25" s="1" t="s">
        <v>437</v>
      </c>
      <c r="E25" s="1" t="s">
        <v>467</v>
      </c>
      <c r="F25" s="1" t="s">
        <v>1319</v>
      </c>
    </row>
    <row r="26" spans="1:119" x14ac:dyDescent="0.2">
      <c r="C26" s="1" t="s">
        <v>218</v>
      </c>
      <c r="D26">
        <f>33+53</f>
        <v>86</v>
      </c>
      <c r="E26">
        <v>24.39</v>
      </c>
    </row>
    <row r="27" spans="1:119" x14ac:dyDescent="0.2">
      <c r="C27" s="1" t="s">
        <v>1318</v>
      </c>
      <c r="D27">
        <v>33.158000000000001</v>
      </c>
      <c r="E27">
        <v>366.4</v>
      </c>
      <c r="Y27" s="66" t="s">
        <v>511</v>
      </c>
      <c r="Z27" s="66"/>
    </row>
    <row r="28" spans="1:119" x14ac:dyDescent="0.2">
      <c r="F28" t="s">
        <v>160</v>
      </c>
      <c r="G28" s="1" t="s">
        <v>1333</v>
      </c>
      <c r="Y28" s="1" t="s">
        <v>525</v>
      </c>
      <c r="Z28" s="64" t="s">
        <v>513</v>
      </c>
    </row>
    <row r="29" spans="1:119" x14ac:dyDescent="0.2">
      <c r="Y29" s="1" t="s">
        <v>526</v>
      </c>
      <c r="Z29" s="64" t="s">
        <v>514</v>
      </c>
    </row>
    <row r="30" spans="1:119" x14ac:dyDescent="0.2">
      <c r="Z30" s="64" t="s">
        <v>515</v>
      </c>
    </row>
    <row r="31" spans="1:119" x14ac:dyDescent="0.2">
      <c r="R31" t="str">
        <f>A13</f>
        <v>EWind</v>
      </c>
      <c r="S31" t="str">
        <f>A10</f>
        <v>EPV_Grid</v>
      </c>
      <c r="T31" t="str">
        <f>A11</f>
        <v>EPV_RfTp</v>
      </c>
      <c r="Z31" s="71" t="s">
        <v>276</v>
      </c>
    </row>
    <row r="32" spans="1:119" x14ac:dyDescent="0.2">
      <c r="P32" s="482" t="s">
        <v>500</v>
      </c>
      <c r="Q32" t="s">
        <v>495</v>
      </c>
      <c r="R32">
        <f>9.6+110.4+38+20</f>
        <v>178</v>
      </c>
      <c r="S32">
        <f>68+3.7</f>
        <v>71.7</v>
      </c>
      <c r="T32">
        <f>34+1.8</f>
        <v>35.799999999999997</v>
      </c>
    </row>
    <row r="33" spans="6:34" x14ac:dyDescent="0.2">
      <c r="P33" s="482"/>
      <c r="Q33" t="s">
        <v>490</v>
      </c>
      <c r="R33">
        <v>71.400000000000006</v>
      </c>
      <c r="S33">
        <v>10.199999999999999</v>
      </c>
      <c r="T33">
        <v>5.0999999999999996</v>
      </c>
      <c r="Y33" s="66" t="s">
        <v>512</v>
      </c>
    </row>
    <row r="34" spans="6:34" x14ac:dyDescent="0.2">
      <c r="P34" s="482"/>
      <c r="Q34" t="s">
        <v>491</v>
      </c>
      <c r="R34">
        <v>1.4</v>
      </c>
      <c r="S34">
        <v>7.5</v>
      </c>
      <c r="T34">
        <v>11</v>
      </c>
      <c r="Y34" s="1" t="s">
        <v>504</v>
      </c>
      <c r="Z34" t="s">
        <v>276</v>
      </c>
      <c r="AA34">
        <v>0.5</v>
      </c>
    </row>
    <row r="35" spans="6:34" x14ac:dyDescent="0.2">
      <c r="P35" s="482"/>
      <c r="Q35" t="s">
        <v>496</v>
      </c>
      <c r="R35">
        <v>8.1999999999999993</v>
      </c>
      <c r="S35">
        <v>46.4</v>
      </c>
      <c r="T35">
        <v>46.4</v>
      </c>
      <c r="Y35" s="1" t="s">
        <v>520</v>
      </c>
      <c r="Z35" t="s">
        <v>519</v>
      </c>
      <c r="AB35">
        <v>1</v>
      </c>
    </row>
    <row r="36" spans="6:34" x14ac:dyDescent="0.2">
      <c r="P36" s="482"/>
      <c r="Q36" t="s">
        <v>491</v>
      </c>
      <c r="R36">
        <v>1.4</v>
      </c>
      <c r="S36">
        <v>7.5</v>
      </c>
      <c r="T36">
        <v>11</v>
      </c>
      <c r="Y36" s="1" t="s">
        <v>510</v>
      </c>
      <c r="Z36" t="s">
        <v>279</v>
      </c>
      <c r="AD36">
        <v>1</v>
      </c>
    </row>
    <row r="37" spans="6:34" x14ac:dyDescent="0.2">
      <c r="P37" s="482"/>
      <c r="Q37" t="s">
        <v>494</v>
      </c>
      <c r="R37">
        <v>2.9</v>
      </c>
      <c r="S37">
        <v>8.6</v>
      </c>
      <c r="T37">
        <v>8.6</v>
      </c>
      <c r="Y37" s="1" t="s">
        <v>505</v>
      </c>
      <c r="Z37" t="s">
        <v>277</v>
      </c>
      <c r="AC37">
        <v>0.9</v>
      </c>
      <c r="AF37">
        <v>0.9</v>
      </c>
      <c r="AG37">
        <v>0.9</v>
      </c>
    </row>
    <row r="38" spans="6:34" x14ac:dyDescent="0.2">
      <c r="Q38" t="s">
        <v>492</v>
      </c>
      <c r="R38">
        <v>2</v>
      </c>
      <c r="S38">
        <v>4.5999999999999996</v>
      </c>
      <c r="T38">
        <v>4.5999999999999996</v>
      </c>
      <c r="Y38" s="1" t="s">
        <v>506</v>
      </c>
      <c r="Z38" t="s">
        <v>281</v>
      </c>
      <c r="AE38">
        <v>1</v>
      </c>
    </row>
    <row r="39" spans="6:34" x14ac:dyDescent="0.2">
      <c r="Q39" t="s">
        <v>493</v>
      </c>
      <c r="R39">
        <v>5.5</v>
      </c>
      <c r="S39">
        <v>3.4</v>
      </c>
      <c r="T39">
        <v>1.7</v>
      </c>
      <c r="Y39" s="1" t="s">
        <v>507</v>
      </c>
      <c r="Z39" t="s">
        <v>275</v>
      </c>
      <c r="AC39">
        <v>0.1</v>
      </c>
    </row>
    <row r="40" spans="6:34" ht="15" x14ac:dyDescent="0.25">
      <c r="Q40" t="s">
        <v>497</v>
      </c>
      <c r="S40" s="67">
        <v>0.04</v>
      </c>
      <c r="T40" s="67">
        <v>0.04</v>
      </c>
      <c r="Y40" s="1" t="s">
        <v>508</v>
      </c>
      <c r="Z40" t="s">
        <v>273</v>
      </c>
      <c r="AH40">
        <v>1</v>
      </c>
    </row>
    <row r="41" spans="6:34" x14ac:dyDescent="0.2">
      <c r="Y41" s="1" t="s">
        <v>509</v>
      </c>
      <c r="Z41" t="s">
        <v>274</v>
      </c>
    </row>
    <row r="42" spans="6:34" x14ac:dyDescent="0.2">
      <c r="F42" t="s">
        <v>161</v>
      </c>
    </row>
    <row r="43" spans="6:34" x14ac:dyDescent="0.2">
      <c r="Y43" s="66" t="s">
        <v>521</v>
      </c>
    </row>
    <row r="44" spans="6:34" x14ac:dyDescent="0.2">
      <c r="Y44" s="1" t="s">
        <v>503</v>
      </c>
      <c r="Z44" t="s">
        <v>278</v>
      </c>
      <c r="AA44">
        <v>0.5</v>
      </c>
    </row>
    <row r="50" spans="1:25" x14ac:dyDescent="0.2">
      <c r="Y50" s="1" t="s">
        <v>1111</v>
      </c>
    </row>
    <row r="51" spans="1:25" x14ac:dyDescent="0.2">
      <c r="Y51" s="1" t="s">
        <v>1113</v>
      </c>
    </row>
    <row r="52" spans="1:25" x14ac:dyDescent="0.2">
      <c r="Y52" s="1" t="s">
        <v>1112</v>
      </c>
    </row>
    <row r="53" spans="1:25" x14ac:dyDescent="0.2">
      <c r="Y53" s="1" t="s">
        <v>1114</v>
      </c>
    </row>
    <row r="54" spans="1:25" x14ac:dyDescent="0.2">
      <c r="Q54" s="1" t="s">
        <v>528</v>
      </c>
      <c r="Y54" s="1" t="s">
        <v>1115</v>
      </c>
    </row>
    <row r="55" spans="1:25" x14ac:dyDescent="0.2">
      <c r="Y55" s="1" t="s">
        <v>1116</v>
      </c>
    </row>
    <row r="56" spans="1:25" x14ac:dyDescent="0.2">
      <c r="Y56" s="1" t="s">
        <v>1315</v>
      </c>
    </row>
    <row r="59" spans="1:25" ht="18" x14ac:dyDescent="0.25">
      <c r="A59" s="486" t="s">
        <v>1336</v>
      </c>
    </row>
    <row r="61" spans="1:25" ht="16.5" x14ac:dyDescent="0.3">
      <c r="A61" s="493" t="s">
        <v>1337</v>
      </c>
      <c r="B61" s="494"/>
      <c r="C61" s="494"/>
      <c r="D61" s="494"/>
      <c r="E61" s="494"/>
      <c r="F61" s="494"/>
      <c r="G61" s="494"/>
      <c r="H61" s="494"/>
      <c r="I61" s="494"/>
      <c r="J61" s="494"/>
      <c r="K61" s="494"/>
      <c r="L61" s="494"/>
      <c r="M61" s="495"/>
    </row>
    <row r="62" spans="1:25" ht="16.5" x14ac:dyDescent="0.3">
      <c r="A62" s="496" t="s">
        <v>1338</v>
      </c>
      <c r="B62" s="488"/>
      <c r="C62" s="488"/>
      <c r="D62" s="488"/>
      <c r="E62" s="488"/>
      <c r="F62" s="488"/>
      <c r="G62" s="488"/>
      <c r="H62" s="488"/>
      <c r="I62" s="488"/>
      <c r="J62" s="488"/>
      <c r="K62" s="488"/>
      <c r="L62" s="488"/>
      <c r="M62" s="491"/>
    </row>
    <row r="63" spans="1:25" x14ac:dyDescent="0.2">
      <c r="A63" s="497"/>
      <c r="B63" s="488"/>
      <c r="C63" s="488"/>
      <c r="D63" s="488"/>
      <c r="E63" s="488"/>
      <c r="F63" s="488"/>
      <c r="G63" s="488"/>
      <c r="H63" s="488"/>
      <c r="I63" s="488"/>
      <c r="J63" s="488"/>
      <c r="K63" s="488"/>
      <c r="L63" s="488"/>
      <c r="M63" s="491"/>
    </row>
    <row r="64" spans="1:25" x14ac:dyDescent="0.2">
      <c r="A64" s="497"/>
      <c r="B64" s="488"/>
      <c r="C64" s="488"/>
      <c r="D64" s="488"/>
      <c r="E64" s="488"/>
      <c r="F64" s="488"/>
      <c r="G64" s="488"/>
      <c r="H64" s="488"/>
      <c r="I64" s="488"/>
      <c r="J64" s="488"/>
      <c r="K64" s="488"/>
      <c r="L64" s="488"/>
      <c r="M64" s="491"/>
    </row>
    <row r="65" spans="1:32" x14ac:dyDescent="0.2">
      <c r="A65" s="497"/>
      <c r="B65" s="488"/>
      <c r="C65" s="488"/>
      <c r="D65" s="488"/>
      <c r="E65" s="488"/>
      <c r="F65" s="488"/>
      <c r="G65" s="488"/>
      <c r="H65" s="488"/>
      <c r="I65" s="488"/>
      <c r="J65" s="488"/>
      <c r="K65" s="488"/>
      <c r="L65" s="488"/>
      <c r="M65" s="491"/>
    </row>
    <row r="66" spans="1:32" x14ac:dyDescent="0.2">
      <c r="A66" s="497"/>
      <c r="B66" s="488"/>
      <c r="C66" s="488"/>
      <c r="D66" s="488"/>
      <c r="E66" s="488"/>
      <c r="F66" s="488"/>
      <c r="G66" s="488"/>
      <c r="H66" s="488"/>
      <c r="I66" s="488"/>
      <c r="J66" s="488"/>
      <c r="K66" s="488"/>
      <c r="L66" s="488"/>
      <c r="M66" s="491"/>
      <c r="P66" s="66" t="s">
        <v>1353</v>
      </c>
    </row>
    <row r="67" spans="1:32" x14ac:dyDescent="0.2">
      <c r="A67" s="497"/>
      <c r="B67" s="488"/>
      <c r="C67" s="488"/>
      <c r="D67" s="488"/>
      <c r="E67" s="488"/>
      <c r="F67" s="488"/>
      <c r="G67" s="488"/>
      <c r="H67" s="488"/>
      <c r="I67" s="488"/>
      <c r="J67" s="488"/>
      <c r="K67" s="488"/>
      <c r="L67" s="488"/>
      <c r="M67" s="491"/>
      <c r="P67" s="1"/>
      <c r="AF67" s="500" t="s">
        <v>1367</v>
      </c>
    </row>
    <row r="68" spans="1:32" x14ac:dyDescent="0.2">
      <c r="A68" s="497"/>
      <c r="B68" s="488"/>
      <c r="C68" s="488"/>
      <c r="D68" s="488"/>
      <c r="E68" s="488"/>
      <c r="F68" s="488"/>
      <c r="G68" s="488"/>
      <c r="H68" s="488"/>
      <c r="I68" s="488"/>
      <c r="J68" s="488"/>
      <c r="K68" s="488"/>
      <c r="L68" s="488"/>
      <c r="M68" s="491"/>
      <c r="AA68" s="66" t="s">
        <v>1358</v>
      </c>
      <c r="AD68" s="1" t="s">
        <v>1358</v>
      </c>
      <c r="AF68" s="501"/>
    </row>
    <row r="69" spans="1:32" x14ac:dyDescent="0.2">
      <c r="A69" s="497"/>
      <c r="B69" s="488"/>
      <c r="C69" s="488"/>
      <c r="D69" s="488"/>
      <c r="E69" s="488"/>
      <c r="F69" s="488"/>
      <c r="G69" s="488"/>
      <c r="H69" s="488"/>
      <c r="I69" s="488"/>
      <c r="J69" s="488"/>
      <c r="K69" s="488"/>
      <c r="L69" s="488"/>
      <c r="M69" s="491"/>
      <c r="S69" s="490" t="s">
        <v>1352</v>
      </c>
      <c r="T69" s="66" t="s">
        <v>1351</v>
      </c>
      <c r="V69" s="66" t="s">
        <v>1355</v>
      </c>
      <c r="Y69" s="1" t="s">
        <v>1357</v>
      </c>
      <c r="AA69" s="66" t="s">
        <v>1359</v>
      </c>
      <c r="AD69" s="66" t="s">
        <v>1364</v>
      </c>
      <c r="AF69" s="501" t="s">
        <v>1368</v>
      </c>
    </row>
    <row r="70" spans="1:32" x14ac:dyDescent="0.2">
      <c r="A70" s="497"/>
      <c r="B70" s="488"/>
      <c r="C70" s="488"/>
      <c r="D70" s="488"/>
      <c r="E70" s="488"/>
      <c r="F70" s="488"/>
      <c r="G70" s="488"/>
      <c r="H70" s="488"/>
      <c r="I70" s="488"/>
      <c r="J70" s="488"/>
      <c r="K70" s="488"/>
      <c r="L70" s="488"/>
      <c r="M70" s="491"/>
      <c r="P70" s="1" t="s">
        <v>1340</v>
      </c>
      <c r="R70" s="1" t="s">
        <v>495</v>
      </c>
      <c r="S70" s="491">
        <v>5.7</v>
      </c>
      <c r="T70" s="1" t="s">
        <v>495</v>
      </c>
      <c r="V70" s="1" t="s">
        <v>495</v>
      </c>
      <c r="W70" s="64">
        <f>SUMIFS($S$70:$S$88,$T$70:$T$88,V70)/100</f>
        <v>0.09</v>
      </c>
      <c r="AA70">
        <f>W70*$Y$88</f>
        <v>31.59</v>
      </c>
      <c r="AD70" s="1">
        <f>AA70*0.001/$AA$89</f>
        <v>0.3461538461538462</v>
      </c>
      <c r="AE70" s="1"/>
      <c r="AF70" s="501">
        <f>AD70*4</f>
        <v>1.3846153846153848</v>
      </c>
    </row>
    <row r="71" spans="1:32" x14ac:dyDescent="0.2">
      <c r="A71" s="497"/>
      <c r="B71" s="488"/>
      <c r="C71" s="488"/>
      <c r="D71" s="488"/>
      <c r="E71" s="488"/>
      <c r="F71" s="488"/>
      <c r="G71" s="488"/>
      <c r="H71" s="488"/>
      <c r="I71" s="488"/>
      <c r="J71" s="488"/>
      <c r="K71" s="488"/>
      <c r="L71" s="488"/>
      <c r="M71" s="491"/>
      <c r="R71" s="1" t="s">
        <v>1339</v>
      </c>
      <c r="S71" s="491">
        <v>2.7</v>
      </c>
      <c r="T71" s="1" t="s">
        <v>492</v>
      </c>
      <c r="V71" s="1" t="s">
        <v>492</v>
      </c>
      <c r="W71" s="64">
        <f t="shared" ref="W71:W73" si="31">SUMIFS($S$70:$S$88,$T$70:$T$88,V71)/100</f>
        <v>0.14199999999999999</v>
      </c>
      <c r="AA71">
        <f>W71*$Y$88</f>
        <v>49.841999999999999</v>
      </c>
      <c r="AD71" s="1">
        <f>AA71*0.001/$AA$89</f>
        <v>0.54615384615384621</v>
      </c>
      <c r="AF71" s="501">
        <f t="shared" ref="AF71:AF73" si="32">AD71*4</f>
        <v>2.1846153846153848</v>
      </c>
    </row>
    <row r="72" spans="1:32" x14ac:dyDescent="0.2">
      <c r="A72" s="497"/>
      <c r="B72" s="488"/>
      <c r="C72" s="488"/>
      <c r="D72" s="488"/>
      <c r="E72" s="488"/>
      <c r="F72" s="488"/>
      <c r="G72" s="488"/>
      <c r="H72" s="488"/>
      <c r="I72" s="488"/>
      <c r="J72" s="488"/>
      <c r="K72" s="488"/>
      <c r="L72" s="488"/>
      <c r="M72" s="491"/>
      <c r="R72" s="1" t="s">
        <v>491</v>
      </c>
      <c r="S72" s="491">
        <v>18</v>
      </c>
      <c r="T72" s="1" t="s">
        <v>491</v>
      </c>
      <c r="V72" s="1" t="s">
        <v>491</v>
      </c>
      <c r="W72" s="64">
        <f t="shared" si="31"/>
        <v>0.34499999999999997</v>
      </c>
      <c r="AA72">
        <f>W72*$Y$88</f>
        <v>121.09499999999998</v>
      </c>
      <c r="AD72" s="1">
        <f>AA72*0.001/$AA$89</f>
        <v>1.3269230769230769</v>
      </c>
      <c r="AF72" s="501">
        <f t="shared" si="32"/>
        <v>5.3076923076923075</v>
      </c>
    </row>
    <row r="73" spans="1:32" x14ac:dyDescent="0.2">
      <c r="A73" s="497"/>
      <c r="B73" s="488"/>
      <c r="C73" s="488"/>
      <c r="D73" s="488"/>
      <c r="E73" s="488"/>
      <c r="F73" s="488"/>
      <c r="G73" s="488"/>
      <c r="H73" s="488"/>
      <c r="I73" s="488"/>
      <c r="J73" s="488"/>
      <c r="K73" s="488"/>
      <c r="L73" s="488"/>
      <c r="M73" s="491"/>
      <c r="R73" s="1" t="s">
        <v>1341</v>
      </c>
      <c r="S73" s="491">
        <v>5.7</v>
      </c>
      <c r="T73" s="1" t="s">
        <v>494</v>
      </c>
      <c r="V73" s="1" t="s">
        <v>494</v>
      </c>
      <c r="W73" s="64">
        <f t="shared" si="31"/>
        <v>0.11</v>
      </c>
      <c r="AA73">
        <f>W73*$Y$88</f>
        <v>38.61</v>
      </c>
      <c r="AD73" s="1">
        <f>AA73*0.001/$AA$89</f>
        <v>0.42307692307692307</v>
      </c>
      <c r="AF73" s="501">
        <f t="shared" si="32"/>
        <v>1.6923076923076923</v>
      </c>
    </row>
    <row r="74" spans="1:32" x14ac:dyDescent="0.2">
      <c r="A74" s="497"/>
      <c r="B74" s="488"/>
      <c r="C74" s="488"/>
      <c r="D74" s="488"/>
      <c r="E74" s="488"/>
      <c r="F74" s="488"/>
      <c r="G74" s="488"/>
      <c r="H74" s="488"/>
      <c r="I74" s="488"/>
      <c r="J74" s="488"/>
      <c r="K74" s="488"/>
      <c r="L74" s="488"/>
      <c r="M74" s="491"/>
      <c r="R74" s="1" t="s">
        <v>1342</v>
      </c>
      <c r="S74" s="491">
        <v>2.2999999999999998</v>
      </c>
      <c r="T74" s="1" t="s">
        <v>1249</v>
      </c>
      <c r="AF74" s="501"/>
    </row>
    <row r="75" spans="1:32" x14ac:dyDescent="0.2">
      <c r="A75" s="497"/>
      <c r="B75" s="488"/>
      <c r="C75" s="488"/>
      <c r="D75" s="488"/>
      <c r="E75" s="488"/>
      <c r="F75" s="488"/>
      <c r="G75" s="488"/>
      <c r="H75" s="488"/>
      <c r="I75" s="488"/>
      <c r="J75" s="488"/>
      <c r="K75" s="488"/>
      <c r="L75" s="488"/>
      <c r="M75" s="491"/>
      <c r="P75" s="1" t="s">
        <v>1343</v>
      </c>
      <c r="R75" s="1" t="s">
        <v>491</v>
      </c>
      <c r="S75" s="491">
        <v>5.2</v>
      </c>
      <c r="T75" s="1" t="s">
        <v>491</v>
      </c>
      <c r="AF75" s="501"/>
    </row>
    <row r="76" spans="1:32" x14ac:dyDescent="0.2">
      <c r="A76" s="497"/>
      <c r="B76" s="488"/>
      <c r="C76" s="488"/>
      <c r="D76" s="488"/>
      <c r="E76" s="488"/>
      <c r="F76" s="488"/>
      <c r="G76" s="488"/>
      <c r="H76" s="488"/>
      <c r="I76" s="488"/>
      <c r="J76" s="488"/>
      <c r="K76" s="488"/>
      <c r="L76" s="488"/>
      <c r="M76" s="491"/>
      <c r="R76" s="1" t="s">
        <v>1341</v>
      </c>
      <c r="S76" s="491">
        <v>1.5</v>
      </c>
      <c r="T76" s="1" t="s">
        <v>494</v>
      </c>
      <c r="AF76" s="501"/>
    </row>
    <row r="77" spans="1:32" x14ac:dyDescent="0.2">
      <c r="A77" s="497"/>
      <c r="B77" s="488"/>
      <c r="C77" s="488"/>
      <c r="D77" s="488"/>
      <c r="E77" s="488"/>
      <c r="F77" s="488"/>
      <c r="G77" s="488"/>
      <c r="H77" s="488"/>
      <c r="I77" s="488"/>
      <c r="J77" s="488"/>
      <c r="K77" s="488"/>
      <c r="L77" s="488"/>
      <c r="M77" s="491"/>
      <c r="R77" s="1" t="s">
        <v>495</v>
      </c>
      <c r="S77" s="491">
        <v>3.3</v>
      </c>
      <c r="T77" s="1" t="s">
        <v>495</v>
      </c>
      <c r="AF77" s="501"/>
    </row>
    <row r="78" spans="1:32" x14ac:dyDescent="0.2">
      <c r="A78" s="497"/>
      <c r="B78" s="488"/>
      <c r="C78" s="488"/>
      <c r="D78" s="488"/>
      <c r="E78" s="488"/>
      <c r="F78" s="488"/>
      <c r="G78" s="488"/>
      <c r="H78" s="488"/>
      <c r="I78" s="488"/>
      <c r="J78" s="488"/>
      <c r="K78" s="488"/>
      <c r="L78" s="488"/>
      <c r="M78" s="491"/>
      <c r="P78" s="1" t="s">
        <v>1344</v>
      </c>
      <c r="R78" s="1" t="s">
        <v>491</v>
      </c>
      <c r="S78" s="491">
        <v>5.5</v>
      </c>
      <c r="T78" s="1" t="s">
        <v>491</v>
      </c>
      <c r="AF78" s="501"/>
    </row>
    <row r="79" spans="1:32" x14ac:dyDescent="0.2">
      <c r="A79" s="497"/>
      <c r="B79" s="488"/>
      <c r="C79" s="488"/>
      <c r="D79" s="488"/>
      <c r="E79" s="488"/>
      <c r="F79" s="488"/>
      <c r="G79" s="488"/>
      <c r="H79" s="488"/>
      <c r="I79" s="488"/>
      <c r="J79" s="488"/>
      <c r="K79" s="488"/>
      <c r="L79" s="488"/>
      <c r="M79" s="491"/>
      <c r="R79" s="1" t="s">
        <v>1345</v>
      </c>
      <c r="S79" s="491">
        <v>1</v>
      </c>
      <c r="T79" s="1" t="s">
        <v>1345</v>
      </c>
      <c r="V79" s="1" t="s">
        <v>1345</v>
      </c>
      <c r="W79" s="64">
        <f>SUMIFS($S$70:$S$88,$T$70:$T$88,V79)/100</f>
        <v>0.01</v>
      </c>
      <c r="Y79">
        <f>E99</f>
        <v>3.5</v>
      </c>
      <c r="AA79">
        <f>W79*$Y$88</f>
        <v>3.5100000000000002</v>
      </c>
      <c r="AD79" s="1">
        <f>AA79*0.001/$AA$89</f>
        <v>3.8461538461538464E-2</v>
      </c>
      <c r="AF79" s="501">
        <f t="shared" ref="AF79:AF83" si="33">AD79*4</f>
        <v>0.15384615384615385</v>
      </c>
    </row>
    <row r="80" spans="1:32" x14ac:dyDescent="0.2">
      <c r="A80" s="497"/>
      <c r="B80" s="488"/>
      <c r="C80" s="488"/>
      <c r="D80" s="488"/>
      <c r="E80" s="488"/>
      <c r="F80" s="488"/>
      <c r="G80" s="488"/>
      <c r="H80" s="488"/>
      <c r="I80" s="488"/>
      <c r="J80" s="488"/>
      <c r="K80" s="488"/>
      <c r="L80" s="488"/>
      <c r="M80" s="491"/>
      <c r="R80" s="1" t="s">
        <v>1229</v>
      </c>
      <c r="S80" s="491">
        <v>3.1</v>
      </c>
      <c r="T80" s="1" t="s">
        <v>1229</v>
      </c>
      <c r="V80" s="1" t="s">
        <v>1229</v>
      </c>
      <c r="W80" s="64">
        <f>SUMIFS($S$70:$S$88,$T$70:$T$88,V80)/100</f>
        <v>3.1E-2</v>
      </c>
      <c r="Y80">
        <f>E100</f>
        <v>10.9</v>
      </c>
      <c r="AA80">
        <f>W80*$Y$88</f>
        <v>10.881</v>
      </c>
      <c r="AD80" s="1">
        <f>AA80*0.001/$AA$89</f>
        <v>0.11923076923076924</v>
      </c>
      <c r="AF80" s="501">
        <f t="shared" si="33"/>
        <v>0.47692307692307695</v>
      </c>
    </row>
    <row r="81" spans="1:32" x14ac:dyDescent="0.2">
      <c r="A81" s="497"/>
      <c r="B81" s="488"/>
      <c r="C81" s="488"/>
      <c r="D81" s="488"/>
      <c r="E81" s="488"/>
      <c r="F81" s="488"/>
      <c r="G81" s="488"/>
      <c r="H81" s="488"/>
      <c r="I81" s="488"/>
      <c r="J81" s="488"/>
      <c r="K81" s="488"/>
      <c r="L81" s="488"/>
      <c r="M81" s="491"/>
      <c r="R81" s="1" t="s">
        <v>1231</v>
      </c>
      <c r="S81" s="491">
        <v>3.1</v>
      </c>
      <c r="T81" s="1" t="s">
        <v>1231</v>
      </c>
      <c r="V81" s="1" t="s">
        <v>1231</v>
      </c>
      <c r="W81" s="64">
        <f>SUMIFS($S$70:$S$88,$T$70:$T$88,V81)/100</f>
        <v>3.1E-2</v>
      </c>
      <c r="Y81">
        <f>E101</f>
        <v>10.9</v>
      </c>
      <c r="AA81">
        <f>W81*$Y$88</f>
        <v>10.881</v>
      </c>
      <c r="AD81" s="1">
        <f>AA81*0.001/$AA$89</f>
        <v>0.11923076923076924</v>
      </c>
      <c r="AF81" s="501">
        <f t="shared" si="33"/>
        <v>0.47692307692307695</v>
      </c>
    </row>
    <row r="82" spans="1:32" x14ac:dyDescent="0.2">
      <c r="A82" s="497"/>
      <c r="B82" s="488"/>
      <c r="C82" s="488"/>
      <c r="D82" s="488"/>
      <c r="E82" s="488"/>
      <c r="F82" s="488"/>
      <c r="G82" s="488"/>
      <c r="H82" s="488"/>
      <c r="I82" s="488"/>
      <c r="J82" s="488"/>
      <c r="K82" s="488"/>
      <c r="L82" s="488"/>
      <c r="M82" s="491"/>
      <c r="R82" s="1" t="s">
        <v>1230</v>
      </c>
      <c r="S82" s="491">
        <v>2.8</v>
      </c>
      <c r="T82" s="1" t="s">
        <v>1230</v>
      </c>
      <c r="V82" s="1" t="s">
        <v>1230</v>
      </c>
      <c r="W82" s="64">
        <f>SUMIFS($S$70:$S$88,$T$70:$T$88,V82)/100</f>
        <v>2.7999999999999997E-2</v>
      </c>
      <c r="Y82">
        <f>E102</f>
        <v>9.8000000000000007</v>
      </c>
      <c r="AA82">
        <f>W82*$Y$88</f>
        <v>9.8279999999999994</v>
      </c>
      <c r="AD82" s="1">
        <f>AA82*0.001/$AA$89</f>
        <v>0.1076923076923077</v>
      </c>
      <c r="AF82" s="501">
        <f t="shared" si="33"/>
        <v>0.43076923076923079</v>
      </c>
    </row>
    <row r="83" spans="1:32" x14ac:dyDescent="0.2">
      <c r="A83" s="497"/>
      <c r="B83" s="488"/>
      <c r="C83" s="488"/>
      <c r="D83" s="488"/>
      <c r="E83" s="488"/>
      <c r="F83" s="488"/>
      <c r="G83" s="488"/>
      <c r="H83" s="488"/>
      <c r="I83" s="488"/>
      <c r="J83" s="488"/>
      <c r="K83" s="488"/>
      <c r="L83" s="488"/>
      <c r="M83" s="491"/>
      <c r="R83" s="1" t="s">
        <v>1346</v>
      </c>
      <c r="S83" s="491">
        <v>4.8</v>
      </c>
      <c r="T83" s="1" t="s">
        <v>1354</v>
      </c>
      <c r="V83" s="1" t="s">
        <v>1354</v>
      </c>
      <c r="W83" s="64">
        <f>SUMIFS($S$70:$S$88,$T$70:$T$88,V83)/100</f>
        <v>0.2132</v>
      </c>
      <c r="AA83">
        <f>W83*$Y$88</f>
        <v>74.833200000000005</v>
      </c>
      <c r="AD83" s="1">
        <f>AA83*0.001/$AA$89</f>
        <v>0.82000000000000006</v>
      </c>
      <c r="AF83" s="502">
        <f t="shared" si="33"/>
        <v>3.2800000000000002</v>
      </c>
    </row>
    <row r="84" spans="1:32" x14ac:dyDescent="0.2">
      <c r="A84" s="497"/>
      <c r="B84" s="488"/>
      <c r="C84" s="488"/>
      <c r="D84" s="488"/>
      <c r="E84" s="488"/>
      <c r="F84" s="488"/>
      <c r="G84" s="488"/>
      <c r="H84" s="488"/>
      <c r="I84" s="488"/>
      <c r="J84" s="488"/>
      <c r="K84" s="488"/>
      <c r="L84" s="488"/>
      <c r="M84" s="491"/>
      <c r="P84" s="1" t="s">
        <v>1347</v>
      </c>
      <c r="R84" s="1" t="s">
        <v>492</v>
      </c>
      <c r="S84" s="491">
        <v>9.1999999999999993</v>
      </c>
      <c r="T84" s="1" t="s">
        <v>492</v>
      </c>
      <c r="W84" s="64"/>
    </row>
    <row r="85" spans="1:32" x14ac:dyDescent="0.2">
      <c r="A85" s="497"/>
      <c r="B85" s="488"/>
      <c r="C85" s="488"/>
      <c r="D85" s="488"/>
      <c r="E85" s="488"/>
      <c r="F85" s="488"/>
      <c r="G85" s="488"/>
      <c r="H85" s="488"/>
      <c r="I85" s="488"/>
      <c r="J85" s="488"/>
      <c r="K85" s="488"/>
      <c r="L85" s="488"/>
      <c r="M85" s="491"/>
      <c r="R85" s="1" t="s">
        <v>1232</v>
      </c>
      <c r="S85" s="491">
        <v>8.1999999999999993</v>
      </c>
      <c r="T85" s="1" t="s">
        <v>1354</v>
      </c>
      <c r="Y85">
        <f>SUM(Y79:Y82)</f>
        <v>35.1</v>
      </c>
      <c r="Z85" s="1" t="s">
        <v>1360</v>
      </c>
    </row>
    <row r="86" spans="1:32" x14ac:dyDescent="0.2">
      <c r="A86" s="497"/>
      <c r="B86" s="488"/>
      <c r="C86" s="488"/>
      <c r="D86" s="488"/>
      <c r="E86" s="488"/>
      <c r="F86" s="488"/>
      <c r="G86" s="488"/>
      <c r="H86" s="488"/>
      <c r="I86" s="488"/>
      <c r="J86" s="488"/>
      <c r="K86" s="488"/>
      <c r="L86" s="488"/>
      <c r="M86" s="491"/>
      <c r="P86" s="1" t="s">
        <v>1348</v>
      </c>
      <c r="R86" s="1" t="s">
        <v>491</v>
      </c>
      <c r="S86" s="491">
        <v>5.8</v>
      </c>
      <c r="T86" s="1" t="s">
        <v>491</v>
      </c>
      <c r="Y86" s="76">
        <f>SUM(W79:W82)</f>
        <v>0.1</v>
      </c>
      <c r="Z86" s="1" t="s">
        <v>1361</v>
      </c>
    </row>
    <row r="87" spans="1:32" x14ac:dyDescent="0.2">
      <c r="A87" s="497"/>
      <c r="B87" s="488"/>
      <c r="C87" s="488"/>
      <c r="D87" s="488"/>
      <c r="E87" s="488"/>
      <c r="F87" s="488"/>
      <c r="G87" s="488"/>
      <c r="H87" s="488"/>
      <c r="I87" s="488"/>
      <c r="J87" s="488"/>
      <c r="K87" s="488"/>
      <c r="L87" s="488"/>
      <c r="M87" s="491"/>
      <c r="P87" s="1" t="s">
        <v>1349</v>
      </c>
      <c r="R87" s="1" t="s">
        <v>1350</v>
      </c>
      <c r="S87" s="491">
        <v>8.32</v>
      </c>
      <c r="T87" s="1" t="s">
        <v>1354</v>
      </c>
      <c r="AA87" s="66">
        <v>260</v>
      </c>
      <c r="AB87" s="66" t="s">
        <v>1363</v>
      </c>
    </row>
    <row r="88" spans="1:32" x14ac:dyDescent="0.2">
      <c r="A88" s="497"/>
      <c r="B88" s="488"/>
      <c r="C88" s="488"/>
      <c r="D88" s="488"/>
      <c r="E88" s="488"/>
      <c r="F88" s="488"/>
      <c r="G88" s="488"/>
      <c r="H88" s="488"/>
      <c r="I88" s="488"/>
      <c r="J88" s="488"/>
      <c r="K88" s="488"/>
      <c r="L88" s="488"/>
      <c r="M88" s="491"/>
      <c r="R88" s="1" t="s">
        <v>1341</v>
      </c>
      <c r="S88" s="492">
        <v>3.8</v>
      </c>
      <c r="T88" s="1" t="s">
        <v>494</v>
      </c>
      <c r="Y88">
        <f>Y85/Y86</f>
        <v>351</v>
      </c>
      <c r="Z88" s="1" t="s">
        <v>1362</v>
      </c>
      <c r="AA88">
        <f>Y88*AA87</f>
        <v>91260</v>
      </c>
      <c r="AB88" s="1" t="s">
        <v>1365</v>
      </c>
    </row>
    <row r="89" spans="1:32" x14ac:dyDescent="0.2">
      <c r="A89" s="497"/>
      <c r="B89" s="488"/>
      <c r="C89" s="488"/>
      <c r="D89" s="488"/>
      <c r="E89" s="488"/>
      <c r="F89" s="488"/>
      <c r="G89" s="488"/>
      <c r="H89" s="488"/>
      <c r="I89" s="488"/>
      <c r="J89" s="488"/>
      <c r="K89" s="488"/>
      <c r="L89" s="488"/>
      <c r="M89" s="491"/>
      <c r="AA89" s="499">
        <f>AA88/1000000</f>
        <v>9.1259999999999994E-2</v>
      </c>
      <c r="AB89" s="1" t="s">
        <v>1366</v>
      </c>
    </row>
    <row r="90" spans="1:32" x14ac:dyDescent="0.2">
      <c r="A90" s="497"/>
      <c r="B90" s="488"/>
      <c r="C90" s="488"/>
      <c r="D90" s="488"/>
      <c r="E90" s="488"/>
      <c r="F90" s="488"/>
      <c r="G90" s="488"/>
      <c r="H90" s="488"/>
      <c r="I90" s="488"/>
      <c r="J90" s="488"/>
      <c r="K90" s="488"/>
      <c r="L90" s="488"/>
      <c r="M90" s="491"/>
    </row>
    <row r="91" spans="1:32" x14ac:dyDescent="0.2">
      <c r="A91" s="497"/>
      <c r="B91" s="488"/>
      <c r="C91" s="488"/>
      <c r="D91" s="488"/>
      <c r="E91" s="488"/>
      <c r="F91" s="488"/>
      <c r="G91" s="488"/>
      <c r="H91" s="488"/>
      <c r="I91" s="488"/>
      <c r="J91" s="488"/>
      <c r="K91" s="488"/>
      <c r="L91" s="488"/>
      <c r="M91" s="491"/>
    </row>
    <row r="92" spans="1:32" x14ac:dyDescent="0.2">
      <c r="A92" s="497"/>
      <c r="B92" s="488"/>
      <c r="C92" s="488"/>
      <c r="D92" s="488"/>
      <c r="E92" s="488"/>
      <c r="F92" s="488"/>
      <c r="G92" s="488"/>
      <c r="H92" s="488"/>
      <c r="I92" s="488"/>
      <c r="J92" s="488"/>
      <c r="K92" s="488"/>
      <c r="L92" s="488"/>
      <c r="M92" s="491"/>
    </row>
    <row r="93" spans="1:32" x14ac:dyDescent="0.2">
      <c r="A93" s="497"/>
      <c r="B93" s="488"/>
      <c r="C93" s="488"/>
      <c r="D93" s="488"/>
      <c r="E93" s="488"/>
      <c r="F93" s="488"/>
      <c r="G93" s="488"/>
      <c r="H93" s="488"/>
      <c r="I93" s="488"/>
      <c r="J93" s="488"/>
      <c r="K93" s="488"/>
      <c r="L93" s="488"/>
      <c r="M93" s="491"/>
    </row>
    <row r="94" spans="1:32" x14ac:dyDescent="0.2">
      <c r="A94" s="497"/>
      <c r="B94" s="488"/>
      <c r="C94" s="488"/>
      <c r="D94" s="488"/>
      <c r="E94" s="488"/>
      <c r="F94" s="488"/>
      <c r="G94" s="488"/>
      <c r="H94" s="488"/>
      <c r="I94" s="488"/>
      <c r="J94" s="488"/>
      <c r="K94" s="488"/>
      <c r="L94" s="488"/>
      <c r="M94" s="491"/>
    </row>
    <row r="95" spans="1:32" x14ac:dyDescent="0.2">
      <c r="A95" s="497"/>
      <c r="B95" s="488"/>
      <c r="C95" s="488"/>
      <c r="D95" s="488"/>
      <c r="E95" s="488"/>
      <c r="F95" s="488"/>
      <c r="G95" s="488"/>
      <c r="H95" s="488"/>
      <c r="I95" s="488"/>
      <c r="J95" s="488"/>
      <c r="K95" s="488"/>
      <c r="L95" s="488"/>
      <c r="M95" s="491"/>
    </row>
    <row r="96" spans="1:32" x14ac:dyDescent="0.2">
      <c r="A96" s="497"/>
      <c r="B96" s="488"/>
      <c r="C96" s="488"/>
      <c r="D96" s="488"/>
      <c r="E96" s="488"/>
      <c r="F96" s="488"/>
      <c r="G96" s="488"/>
      <c r="H96" s="488"/>
      <c r="I96" s="488"/>
      <c r="J96" s="488"/>
      <c r="K96" s="488"/>
      <c r="L96" s="488"/>
      <c r="M96" s="491"/>
    </row>
    <row r="97" spans="1:13" x14ac:dyDescent="0.2">
      <c r="A97" s="497"/>
      <c r="B97" s="488"/>
      <c r="C97" s="488"/>
      <c r="D97" s="488"/>
      <c r="E97" s="488"/>
      <c r="F97" s="488"/>
      <c r="G97" s="488"/>
      <c r="H97" s="488"/>
      <c r="I97" s="488"/>
      <c r="J97" s="488"/>
      <c r="K97" s="488"/>
      <c r="L97" s="488"/>
      <c r="M97" s="491"/>
    </row>
    <row r="98" spans="1:13" x14ac:dyDescent="0.2">
      <c r="A98" s="497"/>
      <c r="B98" s="488"/>
      <c r="C98" s="488"/>
      <c r="D98" s="488"/>
      <c r="E98" s="487" t="s">
        <v>1356</v>
      </c>
      <c r="F98" s="488"/>
      <c r="G98" s="488"/>
      <c r="H98" s="488"/>
      <c r="I98" s="488"/>
      <c r="J98" s="488"/>
      <c r="K98" s="488"/>
      <c r="L98" s="488"/>
      <c r="M98" s="491"/>
    </row>
    <row r="99" spans="1:13" x14ac:dyDescent="0.2">
      <c r="A99" s="497"/>
      <c r="B99" s="488"/>
      <c r="C99" s="488"/>
      <c r="D99" s="487" t="s">
        <v>1345</v>
      </c>
      <c r="E99" s="488">
        <v>3.5</v>
      </c>
      <c r="F99" s="488"/>
      <c r="G99" s="488"/>
      <c r="H99" s="488"/>
      <c r="I99" s="488"/>
      <c r="J99" s="488"/>
      <c r="K99" s="488"/>
      <c r="L99" s="488"/>
      <c r="M99" s="491"/>
    </row>
    <row r="100" spans="1:13" x14ac:dyDescent="0.2">
      <c r="A100" s="497"/>
      <c r="B100" s="488"/>
      <c r="C100" s="488"/>
      <c r="D100" s="487" t="s">
        <v>1229</v>
      </c>
      <c r="E100" s="488">
        <v>10.9</v>
      </c>
      <c r="F100" s="488"/>
      <c r="G100" s="488"/>
      <c r="H100" s="488"/>
      <c r="I100" s="488"/>
      <c r="J100" s="488"/>
      <c r="K100" s="488"/>
      <c r="L100" s="488"/>
      <c r="M100" s="491"/>
    </row>
    <row r="101" spans="1:13" x14ac:dyDescent="0.2">
      <c r="A101" s="497"/>
      <c r="B101" s="488"/>
      <c r="C101" s="488"/>
      <c r="D101" s="487" t="s">
        <v>1252</v>
      </c>
      <c r="E101" s="488">
        <v>10.9</v>
      </c>
      <c r="F101" s="488"/>
      <c r="G101" s="488"/>
      <c r="H101" s="488"/>
      <c r="I101" s="488"/>
      <c r="J101" s="488"/>
      <c r="K101" s="488"/>
      <c r="L101" s="488"/>
      <c r="M101" s="491"/>
    </row>
    <row r="102" spans="1:13" x14ac:dyDescent="0.2">
      <c r="A102" s="497"/>
      <c r="B102" s="488"/>
      <c r="C102" s="488"/>
      <c r="D102" s="487" t="s">
        <v>1230</v>
      </c>
      <c r="E102" s="488">
        <v>9.8000000000000007</v>
      </c>
      <c r="F102" s="488"/>
      <c r="G102" s="488"/>
      <c r="H102" s="488"/>
      <c r="I102" s="488"/>
      <c r="J102" s="488"/>
      <c r="K102" s="488"/>
      <c r="L102" s="488"/>
      <c r="M102" s="491"/>
    </row>
    <row r="103" spans="1:13" x14ac:dyDescent="0.2">
      <c r="A103" s="497"/>
      <c r="B103" s="488"/>
      <c r="C103" s="488"/>
      <c r="D103" s="488"/>
      <c r="E103" s="488"/>
      <c r="F103" s="488"/>
      <c r="G103" s="488"/>
      <c r="H103" s="488"/>
      <c r="I103" s="488"/>
      <c r="J103" s="488"/>
      <c r="K103" s="488"/>
      <c r="L103" s="488"/>
      <c r="M103" s="491"/>
    </row>
    <row r="104" spans="1:13" x14ac:dyDescent="0.2">
      <c r="A104" s="498"/>
      <c r="B104" s="489"/>
      <c r="C104" s="489"/>
      <c r="D104" s="489"/>
      <c r="E104" s="489"/>
      <c r="F104" s="489"/>
      <c r="G104" s="489"/>
      <c r="H104" s="489"/>
      <c r="I104" s="489"/>
      <c r="J104" s="489"/>
      <c r="K104" s="489"/>
      <c r="L104" s="489"/>
      <c r="M104" s="492"/>
    </row>
  </sheetData>
  <mergeCells count="2">
    <mergeCell ref="P32:P37"/>
    <mergeCell ref="H4:N4"/>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004B3-74FB-4A45-A7C4-70FBD455041E}">
  <sheetPr codeName="Sheet3">
    <tabColor theme="5"/>
  </sheetPr>
  <dimension ref="A1:EL295"/>
  <sheetViews>
    <sheetView workbookViewId="0"/>
  </sheetViews>
  <sheetFormatPr defaultRowHeight="15" x14ac:dyDescent="0.25"/>
  <cols>
    <col min="1" max="1" width="13.42578125" style="2" customWidth="1"/>
    <col min="2" max="2" width="9.85546875" style="2" bestFit="1" customWidth="1"/>
    <col min="3" max="3" width="8.5703125" style="2" bestFit="1" customWidth="1"/>
    <col min="4" max="4" width="7.85546875" style="2" bestFit="1" customWidth="1"/>
    <col min="5" max="5" width="9.85546875" style="2" bestFit="1" customWidth="1"/>
    <col min="6" max="6" width="9" style="2" bestFit="1" customWidth="1"/>
    <col min="7" max="7" width="10.28515625" style="2" bestFit="1" customWidth="1"/>
    <col min="8" max="8" width="9" style="2" bestFit="1" customWidth="1"/>
    <col min="9" max="10" width="7.85546875" style="2" bestFit="1" customWidth="1"/>
    <col min="11" max="11" width="6.5703125" style="2" bestFit="1" customWidth="1"/>
    <col min="12" max="12" width="10.28515625" style="2" bestFit="1" customWidth="1"/>
    <col min="13" max="13" width="8.5703125" style="2" bestFit="1" customWidth="1"/>
    <col min="14" max="15" width="9" style="2" bestFit="1" customWidth="1"/>
    <col min="16" max="16" width="7.85546875" style="2" bestFit="1" customWidth="1"/>
    <col min="17" max="17" width="7.42578125" style="2" bestFit="1" customWidth="1"/>
    <col min="18" max="20" width="8.5703125" style="2" bestFit="1" customWidth="1"/>
    <col min="21" max="21" width="9.85546875" style="2" bestFit="1" customWidth="1"/>
    <col min="22" max="23" width="9.42578125" style="2" bestFit="1" customWidth="1"/>
    <col min="24" max="24" width="8.5703125" style="2" bestFit="1" customWidth="1"/>
    <col min="25" max="25" width="9" style="2" bestFit="1" customWidth="1"/>
    <col min="26" max="26" width="8.28515625" style="2" bestFit="1" customWidth="1"/>
    <col min="27" max="27" width="9" style="2" bestFit="1" customWidth="1"/>
    <col min="28" max="28" width="9.85546875" style="2" bestFit="1" customWidth="1"/>
    <col min="29" max="29" width="9.28515625" style="2" bestFit="1" customWidth="1"/>
    <col min="30" max="30" width="9" style="2" bestFit="1" customWidth="1"/>
    <col min="31" max="31" width="8.5703125" style="2" bestFit="1" customWidth="1"/>
    <col min="32" max="33" width="9" style="2" bestFit="1" customWidth="1"/>
    <col min="34" max="34" width="9.85546875" style="2" bestFit="1" customWidth="1"/>
    <col min="35" max="35" width="8.5703125" style="2" bestFit="1" customWidth="1"/>
    <col min="36" max="36" width="8.28515625" style="2" bestFit="1" customWidth="1"/>
    <col min="37" max="37" width="8.5703125" style="2" bestFit="1" customWidth="1"/>
    <col min="38" max="38" width="13.28515625" style="2" customWidth="1"/>
    <col min="39" max="39" width="8.5703125" style="2" bestFit="1" customWidth="1"/>
    <col min="40" max="41" width="10.28515625" style="2" bestFit="1" customWidth="1"/>
    <col min="42" max="42" width="8.5703125" style="2" bestFit="1" customWidth="1"/>
    <col min="43" max="43" width="9" style="2" bestFit="1" customWidth="1"/>
    <col min="44" max="44" width="9.42578125" style="2" bestFit="1" customWidth="1"/>
    <col min="45" max="45" width="9.85546875" style="2" bestFit="1" customWidth="1"/>
    <col min="46" max="46" width="8.42578125" style="2" bestFit="1" customWidth="1"/>
    <col min="47" max="47" width="7.85546875" style="2" bestFit="1" customWidth="1"/>
    <col min="48" max="48" width="9" style="2" bestFit="1" customWidth="1"/>
    <col min="49" max="49" width="7.85546875" style="2" bestFit="1" customWidth="1"/>
    <col min="50" max="50" width="9.85546875" style="2" bestFit="1" customWidth="1"/>
    <col min="51" max="51" width="10.28515625" style="2" bestFit="1" customWidth="1"/>
    <col min="52" max="52" width="9.85546875" style="2" bestFit="1" customWidth="1"/>
    <col min="53" max="54" width="10.28515625" style="2" bestFit="1" customWidth="1"/>
    <col min="55" max="55" width="9.85546875" style="2" bestFit="1" customWidth="1"/>
    <col min="56" max="56" width="8.5703125" style="2" bestFit="1" customWidth="1"/>
    <col min="57" max="57" width="7.85546875" style="2" bestFit="1" customWidth="1"/>
    <col min="58" max="58" width="10.42578125" style="2" bestFit="1" customWidth="1"/>
    <col min="59" max="59" width="11.140625" style="2" bestFit="1" customWidth="1"/>
    <col min="60" max="60" width="10.28515625" style="2" bestFit="1" customWidth="1"/>
    <col min="61" max="61" width="9.42578125" style="2" bestFit="1" customWidth="1"/>
    <col min="62" max="62" width="9" style="2" bestFit="1" customWidth="1"/>
    <col min="63" max="63" width="8.5703125" style="2" bestFit="1" customWidth="1"/>
    <col min="64" max="64" width="6.5703125" style="2" bestFit="1" customWidth="1"/>
    <col min="65" max="65" width="10.28515625" style="2" bestFit="1" customWidth="1"/>
    <col min="66" max="66" width="9.42578125" style="2" bestFit="1" customWidth="1"/>
    <col min="67" max="67" width="9" style="2" bestFit="1" customWidth="1"/>
    <col min="68" max="68" width="9.85546875" style="2" bestFit="1" customWidth="1"/>
    <col min="69" max="69" width="8.5703125" style="2" bestFit="1" customWidth="1"/>
    <col min="70" max="70" width="9" style="2" bestFit="1" customWidth="1"/>
    <col min="71" max="71" width="8.5703125" style="2" bestFit="1" customWidth="1"/>
    <col min="72" max="72" width="9.42578125" style="2" bestFit="1" customWidth="1"/>
    <col min="73" max="73" width="9" style="2" bestFit="1" customWidth="1"/>
    <col min="74" max="74" width="9.85546875" style="2" bestFit="1" customWidth="1"/>
    <col min="75" max="75" width="9.42578125" style="2" bestFit="1" customWidth="1"/>
    <col min="76" max="76" width="8.5703125" style="2" bestFit="1" customWidth="1"/>
    <col min="77" max="77" width="9.85546875" style="2" bestFit="1" customWidth="1"/>
    <col min="78" max="78" width="10.28515625" style="2" bestFit="1" customWidth="1"/>
    <col min="79" max="80" width="9" style="2" bestFit="1" customWidth="1"/>
    <col min="81" max="81" width="8.5703125" style="2" bestFit="1" customWidth="1"/>
    <col min="82" max="82" width="9" style="2" bestFit="1" customWidth="1"/>
    <col min="83" max="83" width="10.28515625" style="2" bestFit="1" customWidth="1"/>
    <col min="84" max="84" width="9.42578125" style="2" bestFit="1" customWidth="1"/>
    <col min="85" max="85" width="9.85546875" style="2" bestFit="1" customWidth="1"/>
    <col min="86" max="86" width="10.28515625" style="2" bestFit="1" customWidth="1"/>
    <col min="87" max="89" width="9.85546875" style="2" bestFit="1" customWidth="1"/>
    <col min="90" max="90" width="8.5703125" style="2" bestFit="1" customWidth="1"/>
    <col min="91" max="92" width="9" style="2" bestFit="1" customWidth="1"/>
    <col min="93" max="93" width="9.85546875" style="2" bestFit="1" customWidth="1"/>
    <col min="94" max="94" width="9" style="2" bestFit="1" customWidth="1"/>
    <col min="95" max="96" width="10.28515625" style="2" bestFit="1" customWidth="1"/>
    <col min="97" max="97" width="9" style="2" bestFit="1" customWidth="1"/>
    <col min="98" max="98" width="9.42578125" style="2" bestFit="1" customWidth="1"/>
    <col min="99" max="99" width="9.85546875" style="2" bestFit="1" customWidth="1"/>
    <col min="100" max="100" width="9" style="2" bestFit="1" customWidth="1"/>
    <col min="101" max="101" width="7.85546875" style="2" bestFit="1" customWidth="1"/>
    <col min="102" max="102" width="9" style="2" bestFit="1" customWidth="1"/>
    <col min="103" max="103" width="9.85546875" style="2" bestFit="1" customWidth="1"/>
    <col min="104" max="104" width="10.28515625" style="2" bestFit="1" customWidth="1"/>
    <col min="105" max="105" width="11.7109375" style="2" bestFit="1" customWidth="1"/>
    <col min="106" max="108" width="10.28515625" style="2" bestFit="1" customWidth="1"/>
    <col min="109" max="109" width="8.5703125" style="2" bestFit="1" customWidth="1"/>
    <col min="110" max="110" width="9.85546875" style="2" bestFit="1" customWidth="1"/>
    <col min="111" max="112" width="10.28515625" style="2" bestFit="1" customWidth="1"/>
    <col min="113" max="113" width="11.7109375" style="2" bestFit="1" customWidth="1"/>
    <col min="114" max="114" width="8.5703125" style="2" bestFit="1" customWidth="1"/>
    <col min="115" max="115" width="11.7109375" style="2" bestFit="1" customWidth="1"/>
    <col min="116" max="116" width="8.5703125" style="2" bestFit="1" customWidth="1"/>
    <col min="117" max="120" width="9" style="2" bestFit="1" customWidth="1"/>
    <col min="121" max="123" width="9.85546875" style="2" bestFit="1" customWidth="1"/>
    <col min="124" max="125" width="10.28515625" style="2" bestFit="1" customWidth="1"/>
    <col min="126" max="127" width="9.85546875" style="2" bestFit="1" customWidth="1"/>
    <col min="128" max="130" width="10.28515625" style="2" bestFit="1" customWidth="1"/>
    <col min="131" max="131" width="11.28515625" style="2" bestFit="1" customWidth="1"/>
    <col min="132" max="132" width="9" style="2" bestFit="1" customWidth="1"/>
    <col min="133" max="133" width="9.85546875" style="2" bestFit="1" customWidth="1"/>
    <col min="134" max="134" width="9" style="2" bestFit="1" customWidth="1"/>
    <col min="135" max="135" width="10.28515625" style="2" bestFit="1" customWidth="1"/>
    <col min="136" max="136" width="5.28515625" style="2" bestFit="1" customWidth="1"/>
    <col min="137" max="137" width="9.85546875" style="2" bestFit="1" customWidth="1"/>
    <col min="138" max="138" width="8.5703125" style="2" bestFit="1" customWidth="1"/>
    <col min="139" max="139" width="9.28515625" style="2" bestFit="1" customWidth="1"/>
    <col min="140" max="140" width="13.28515625" style="2" customWidth="1"/>
    <col min="141" max="141" width="13.28515625" style="2" bestFit="1" customWidth="1"/>
    <col min="142" max="142" width="19.5703125" style="2" bestFit="1" customWidth="1"/>
    <col min="143" max="143" width="13.28515625" style="2" bestFit="1" customWidth="1"/>
    <col min="144" max="146" width="13.7109375" style="2" bestFit="1" customWidth="1"/>
    <col min="147" max="147" width="11.42578125" style="2" bestFit="1" customWidth="1"/>
    <col min="148" max="150" width="9.140625" style="2"/>
    <col min="151" max="151" width="13.7109375" style="2" bestFit="1" customWidth="1"/>
    <col min="152" max="152" width="11.42578125" style="2" bestFit="1" customWidth="1"/>
    <col min="153" max="157" width="9.140625" style="2"/>
    <col min="158" max="158" width="13.5703125" style="2" bestFit="1" customWidth="1"/>
    <col min="159" max="16384" width="9.140625" style="2"/>
  </cols>
  <sheetData>
    <row r="1" spans="1:142" ht="18.75" x14ac:dyDescent="0.3">
      <c r="A1" s="38"/>
    </row>
    <row r="2" spans="1:142" x14ac:dyDescent="0.25">
      <c r="A2" s="37"/>
    </row>
    <row r="4" spans="1:142" x14ac:dyDescent="0.25">
      <c r="B4" s="36"/>
      <c r="C4" s="36"/>
    </row>
    <row r="5" spans="1:142" x14ac:dyDescent="0.25">
      <c r="B5" s="36"/>
      <c r="C5" s="36"/>
    </row>
    <row r="6" spans="1:142" x14ac:dyDescent="0.25">
      <c r="CP6" s="36"/>
      <c r="CQ6" s="36"/>
      <c r="CR6" s="36"/>
      <c r="CS6" s="36"/>
      <c r="CT6" s="36"/>
      <c r="CU6" s="36"/>
      <c r="CV6" s="36"/>
      <c r="CW6" s="36"/>
      <c r="CX6" s="36"/>
      <c r="CY6" s="36"/>
      <c r="CZ6" s="36"/>
      <c r="DA6" s="36"/>
      <c r="DB6" s="36"/>
      <c r="DC6" s="36"/>
    </row>
    <row r="7" spans="1:142" x14ac:dyDescent="0.25">
      <c r="B7" s="33" t="s">
        <v>357</v>
      </c>
      <c r="C7" s="33" t="s">
        <v>356</v>
      </c>
      <c r="D7" s="33" t="s">
        <v>355</v>
      </c>
      <c r="E7" s="33" t="s">
        <v>354</v>
      </c>
      <c r="F7" s="33" t="s">
        <v>353</v>
      </c>
      <c r="G7" s="33" t="s">
        <v>352</v>
      </c>
      <c r="H7" s="33" t="s">
        <v>351</v>
      </c>
      <c r="I7" s="33" t="s">
        <v>350</v>
      </c>
      <c r="J7" s="33" t="s">
        <v>349</v>
      </c>
      <c r="K7" s="33" t="s">
        <v>348</v>
      </c>
      <c r="L7" s="33" t="s">
        <v>347</v>
      </c>
      <c r="M7" s="33" t="s">
        <v>346</v>
      </c>
      <c r="N7" s="33" t="s">
        <v>345</v>
      </c>
      <c r="O7" s="33" t="s">
        <v>344</v>
      </c>
      <c r="P7" s="33" t="s">
        <v>343</v>
      </c>
      <c r="Q7" s="33" t="s">
        <v>342</v>
      </c>
      <c r="R7" s="33" t="s">
        <v>341</v>
      </c>
      <c r="S7" s="33" t="s">
        <v>340</v>
      </c>
      <c r="T7" s="33" t="s">
        <v>339</v>
      </c>
      <c r="U7" s="33" t="s">
        <v>338</v>
      </c>
      <c r="V7" s="33" t="s">
        <v>337</v>
      </c>
      <c r="W7" s="33" t="s">
        <v>336</v>
      </c>
      <c r="X7" s="33" t="s">
        <v>335</v>
      </c>
      <c r="Y7" s="33" t="s">
        <v>334</v>
      </c>
      <c r="Z7" s="33" t="s">
        <v>333</v>
      </c>
      <c r="AA7" s="33" t="s">
        <v>332</v>
      </c>
      <c r="AB7" s="33" t="s">
        <v>331</v>
      </c>
      <c r="AC7" s="33" t="s">
        <v>330</v>
      </c>
      <c r="AD7" s="33" t="s">
        <v>329</v>
      </c>
      <c r="AE7" s="33" t="s">
        <v>328</v>
      </c>
      <c r="AF7" s="33" t="s">
        <v>327</v>
      </c>
      <c r="AG7" s="33" t="s">
        <v>326</v>
      </c>
      <c r="AH7" s="33" t="s">
        <v>325</v>
      </c>
      <c r="AI7" s="33" t="s">
        <v>324</v>
      </c>
      <c r="AJ7" s="33" t="s">
        <v>323</v>
      </c>
      <c r="AK7" s="33" t="s">
        <v>322</v>
      </c>
      <c r="AL7" s="33" t="s">
        <v>321</v>
      </c>
      <c r="AM7" s="33" t="s">
        <v>320</v>
      </c>
      <c r="AN7" s="33" t="s">
        <v>319</v>
      </c>
      <c r="AO7" s="33" t="s">
        <v>318</v>
      </c>
      <c r="AP7" s="33" t="s">
        <v>317</v>
      </c>
      <c r="AQ7" s="33" t="s">
        <v>316</v>
      </c>
      <c r="AR7" s="33" t="s">
        <v>315</v>
      </c>
      <c r="AS7" s="33" t="s">
        <v>314</v>
      </c>
      <c r="AT7" s="33" t="s">
        <v>313</v>
      </c>
      <c r="AU7" s="33" t="s">
        <v>312</v>
      </c>
      <c r="AV7" s="33" t="s">
        <v>311</v>
      </c>
      <c r="AW7" s="33" t="s">
        <v>310</v>
      </c>
      <c r="AX7" s="33" t="s">
        <v>309</v>
      </c>
      <c r="AY7" s="33" t="s">
        <v>308</v>
      </c>
      <c r="AZ7" s="33" t="s">
        <v>307</v>
      </c>
      <c r="BA7" s="33" t="s">
        <v>306</v>
      </c>
      <c r="BB7" s="33" t="s">
        <v>305</v>
      </c>
      <c r="BC7" s="33" t="s">
        <v>304</v>
      </c>
      <c r="BD7" s="33" t="s">
        <v>303</v>
      </c>
      <c r="BE7" s="33" t="s">
        <v>302</v>
      </c>
      <c r="BF7" s="33" t="s">
        <v>301</v>
      </c>
      <c r="BG7" s="33" t="s">
        <v>300</v>
      </c>
      <c r="BH7" s="33" t="s">
        <v>299</v>
      </c>
      <c r="BI7" s="33" t="s">
        <v>298</v>
      </c>
      <c r="BJ7" s="33" t="s">
        <v>297</v>
      </c>
      <c r="BK7" s="33" t="s">
        <v>296</v>
      </c>
      <c r="BL7" s="33" t="s">
        <v>295</v>
      </c>
      <c r="BM7" s="33" t="s">
        <v>294</v>
      </c>
      <c r="BN7" s="33" t="s">
        <v>293</v>
      </c>
      <c r="BO7" s="33" t="s">
        <v>292</v>
      </c>
      <c r="BP7" s="33" t="s">
        <v>291</v>
      </c>
      <c r="BQ7" s="33" t="s">
        <v>290</v>
      </c>
      <c r="BR7" s="33" t="s">
        <v>289</v>
      </c>
      <c r="BS7" s="33" t="s">
        <v>288</v>
      </c>
      <c r="BT7" s="33" t="s">
        <v>287</v>
      </c>
      <c r="BU7" s="33" t="s">
        <v>286</v>
      </c>
      <c r="BV7" s="33" t="s">
        <v>285</v>
      </c>
      <c r="BW7" s="33" t="s">
        <v>284</v>
      </c>
      <c r="BX7" s="33" t="s">
        <v>283</v>
      </c>
      <c r="BY7" s="33" t="s">
        <v>282</v>
      </c>
      <c r="BZ7" s="33" t="s">
        <v>281</v>
      </c>
      <c r="CA7" s="33" t="s">
        <v>280</v>
      </c>
      <c r="CB7" s="33" t="s">
        <v>279</v>
      </c>
      <c r="CC7" s="33" t="s">
        <v>278</v>
      </c>
      <c r="CD7" s="33" t="s">
        <v>277</v>
      </c>
      <c r="CE7" s="33" t="s">
        <v>276</v>
      </c>
      <c r="CF7" s="33" t="s">
        <v>275</v>
      </c>
      <c r="CG7" s="33" t="s">
        <v>274</v>
      </c>
      <c r="CH7" s="33" t="s">
        <v>273</v>
      </c>
      <c r="CI7" s="33" t="s">
        <v>272</v>
      </c>
      <c r="CJ7" s="33" t="s">
        <v>271</v>
      </c>
      <c r="CK7" s="33" t="s">
        <v>270</v>
      </c>
      <c r="CL7" s="33" t="s">
        <v>269</v>
      </c>
      <c r="CM7" s="33" t="s">
        <v>268</v>
      </c>
      <c r="CN7" s="33" t="s">
        <v>267</v>
      </c>
      <c r="CO7" s="33" t="s">
        <v>266</v>
      </c>
      <c r="CP7" s="33" t="s">
        <v>265</v>
      </c>
      <c r="CQ7" s="33" t="s">
        <v>264</v>
      </c>
      <c r="CR7" s="33" t="s">
        <v>263</v>
      </c>
      <c r="CS7" s="33" t="s">
        <v>262</v>
      </c>
      <c r="CT7" s="33" t="s">
        <v>261</v>
      </c>
      <c r="CU7" s="33" t="s">
        <v>260</v>
      </c>
      <c r="CV7" s="33" t="s">
        <v>259</v>
      </c>
      <c r="CW7" s="33" t="s">
        <v>258</v>
      </c>
      <c r="CX7" s="33" t="s">
        <v>257</v>
      </c>
      <c r="CY7" s="33" t="s">
        <v>256</v>
      </c>
      <c r="CZ7" s="33" t="s">
        <v>255</v>
      </c>
      <c r="DA7" s="33" t="s">
        <v>254</v>
      </c>
      <c r="DB7" s="33" t="s">
        <v>253</v>
      </c>
      <c r="DC7" s="33" t="s">
        <v>252</v>
      </c>
      <c r="DD7" s="33" t="s">
        <v>134</v>
      </c>
      <c r="DE7" s="33" t="s">
        <v>132</v>
      </c>
      <c r="DF7" s="33" t="s">
        <v>130</v>
      </c>
      <c r="DG7" s="33" t="s">
        <v>128</v>
      </c>
      <c r="DH7" s="33" t="s">
        <v>251</v>
      </c>
      <c r="DI7" s="33" t="s">
        <v>250</v>
      </c>
      <c r="DJ7" s="33" t="s">
        <v>249</v>
      </c>
      <c r="DK7" s="33" t="s">
        <v>248</v>
      </c>
      <c r="DL7" s="33" t="s">
        <v>247</v>
      </c>
      <c r="DM7" s="33" t="s">
        <v>246</v>
      </c>
      <c r="DN7" s="33" t="s">
        <v>245</v>
      </c>
      <c r="DO7" s="33" t="s">
        <v>244</v>
      </c>
      <c r="DP7" s="33" t="s">
        <v>243</v>
      </c>
      <c r="DQ7" s="33" t="s">
        <v>242</v>
      </c>
      <c r="DR7" s="33" t="s">
        <v>241</v>
      </c>
      <c r="DS7" s="33" t="s">
        <v>240</v>
      </c>
      <c r="DT7" s="33" t="s">
        <v>239</v>
      </c>
      <c r="DU7" s="33" t="s">
        <v>238</v>
      </c>
      <c r="DV7" s="33" t="s">
        <v>237</v>
      </c>
      <c r="DW7" s="33" t="s">
        <v>236</v>
      </c>
      <c r="DX7" s="33" t="s">
        <v>235</v>
      </c>
      <c r="DY7" s="33" t="s">
        <v>234</v>
      </c>
      <c r="DZ7" s="33" t="s">
        <v>233</v>
      </c>
      <c r="EA7" s="33" t="s">
        <v>232</v>
      </c>
      <c r="EB7" s="33" t="s">
        <v>231</v>
      </c>
      <c r="EC7" s="33" t="s">
        <v>230</v>
      </c>
      <c r="ED7" s="33" t="s">
        <v>229</v>
      </c>
      <c r="EE7" s="33" t="s">
        <v>228</v>
      </c>
      <c r="EF7" s="33" t="s">
        <v>227</v>
      </c>
      <c r="EG7" s="33" t="s">
        <v>226</v>
      </c>
      <c r="EH7" s="33" t="s">
        <v>225</v>
      </c>
      <c r="EI7" s="33" t="s">
        <v>224</v>
      </c>
      <c r="EJ7" s="33" t="s">
        <v>223</v>
      </c>
      <c r="EK7" s="33" t="s">
        <v>222</v>
      </c>
      <c r="EL7" s="33" t="s">
        <v>221</v>
      </c>
    </row>
    <row r="8" spans="1:142" x14ac:dyDescent="0.25">
      <c r="A8" s="33" t="s">
        <v>357</v>
      </c>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v>158068.43043290664</v>
      </c>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v>158068.43043290664</v>
      </c>
    </row>
    <row r="9" spans="1:142" x14ac:dyDescent="0.25">
      <c r="A9" s="33" t="s">
        <v>356</v>
      </c>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v>17544.364776202459</v>
      </c>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c r="CK9" s="35"/>
      <c r="CL9" s="35"/>
      <c r="CM9" s="35"/>
      <c r="CN9" s="35"/>
      <c r="CO9" s="35"/>
      <c r="CP9" s="35"/>
      <c r="CQ9" s="35"/>
      <c r="CR9" s="35"/>
      <c r="CS9" s="35"/>
      <c r="CT9" s="35"/>
      <c r="CU9" s="35"/>
      <c r="CV9" s="35"/>
      <c r="CW9" s="35"/>
      <c r="CX9" s="35"/>
      <c r="CY9" s="35"/>
      <c r="CZ9" s="35"/>
      <c r="DA9" s="35"/>
      <c r="DB9" s="35"/>
      <c r="DC9" s="35"/>
      <c r="DD9" s="35"/>
      <c r="DE9" s="35"/>
      <c r="DF9" s="35"/>
      <c r="DG9" s="35"/>
      <c r="DH9" s="35"/>
      <c r="DI9" s="35"/>
      <c r="DJ9" s="35"/>
      <c r="DK9" s="35"/>
      <c r="DL9" s="35"/>
      <c r="DM9" s="35"/>
      <c r="DN9" s="35"/>
      <c r="DO9" s="35"/>
      <c r="DP9" s="35"/>
      <c r="DQ9" s="35"/>
      <c r="DR9" s="35"/>
      <c r="DS9" s="35"/>
      <c r="DT9" s="35"/>
      <c r="DU9" s="35"/>
      <c r="DV9" s="35"/>
      <c r="DW9" s="35"/>
      <c r="DX9" s="35"/>
      <c r="DY9" s="35"/>
      <c r="DZ9" s="35"/>
      <c r="EA9" s="35"/>
      <c r="EB9" s="35"/>
      <c r="EC9" s="35"/>
      <c r="ED9" s="35"/>
      <c r="EE9" s="35"/>
      <c r="EF9" s="35"/>
      <c r="EG9" s="35"/>
      <c r="EH9" s="35"/>
      <c r="EI9" s="35"/>
      <c r="EJ9" s="35"/>
      <c r="EK9" s="35"/>
      <c r="EL9" s="35">
        <v>17544.364776202459</v>
      </c>
    </row>
    <row r="10" spans="1:142" x14ac:dyDescent="0.25">
      <c r="A10" s="33" t="s">
        <v>355</v>
      </c>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v>4528.0377111453763</v>
      </c>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c r="CK10" s="35"/>
      <c r="CL10" s="35"/>
      <c r="CM10" s="35"/>
      <c r="CN10" s="35"/>
      <c r="CO10" s="35"/>
      <c r="CP10" s="35"/>
      <c r="CQ10" s="35"/>
      <c r="CR10" s="35"/>
      <c r="CS10" s="35"/>
      <c r="CT10" s="35"/>
      <c r="CU10" s="35"/>
      <c r="CV10" s="35"/>
      <c r="CW10" s="35"/>
      <c r="CX10" s="35"/>
      <c r="CY10" s="35"/>
      <c r="CZ10" s="35"/>
      <c r="DA10" s="35"/>
      <c r="DB10" s="35"/>
      <c r="DC10" s="35"/>
      <c r="DD10" s="35"/>
      <c r="DE10" s="35"/>
      <c r="DF10" s="35"/>
      <c r="DG10" s="35"/>
      <c r="DH10" s="35"/>
      <c r="DI10" s="35"/>
      <c r="DJ10" s="35"/>
      <c r="DK10" s="35"/>
      <c r="DL10" s="35"/>
      <c r="DM10" s="35"/>
      <c r="DN10" s="35"/>
      <c r="DO10" s="35"/>
      <c r="DP10" s="35"/>
      <c r="DQ10" s="35"/>
      <c r="DR10" s="35"/>
      <c r="DS10" s="35"/>
      <c r="DT10" s="35"/>
      <c r="DU10" s="35"/>
      <c r="DV10" s="35"/>
      <c r="DW10" s="35"/>
      <c r="DX10" s="35"/>
      <c r="DY10" s="35"/>
      <c r="DZ10" s="35"/>
      <c r="EA10" s="35"/>
      <c r="EB10" s="35"/>
      <c r="EC10" s="35"/>
      <c r="ED10" s="35"/>
      <c r="EE10" s="35"/>
      <c r="EF10" s="35"/>
      <c r="EG10" s="35"/>
      <c r="EH10" s="35"/>
      <c r="EI10" s="35"/>
      <c r="EJ10" s="35"/>
      <c r="EK10" s="35"/>
      <c r="EL10" s="35">
        <v>4528.0377111453763</v>
      </c>
    </row>
    <row r="11" spans="1:142" x14ac:dyDescent="0.25">
      <c r="A11" s="33" t="s">
        <v>354</v>
      </c>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v>37700.014475462362</v>
      </c>
      <c r="BE11" s="35">
        <v>54595.815560556279</v>
      </c>
      <c r="BF11" s="35">
        <v>6800.5680544358711</v>
      </c>
      <c r="BG11" s="35">
        <v>8328.3631604019756</v>
      </c>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v>107424.76125085649</v>
      </c>
    </row>
    <row r="12" spans="1:142" x14ac:dyDescent="0.25">
      <c r="A12" s="33" t="s">
        <v>353</v>
      </c>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v>75527.985544643932</v>
      </c>
      <c r="BG12" s="35">
        <v>5328.4482342927813</v>
      </c>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c r="CK12" s="35"/>
      <c r="CL12" s="35"/>
      <c r="CM12" s="35"/>
      <c r="CN12" s="35"/>
      <c r="CO12" s="35"/>
      <c r="CP12" s="35"/>
      <c r="CQ12" s="35"/>
      <c r="CR12" s="35"/>
      <c r="CS12" s="35"/>
      <c r="CT12" s="35"/>
      <c r="CU12" s="35"/>
      <c r="CV12" s="35"/>
      <c r="CW12" s="35"/>
      <c r="CX12" s="35"/>
      <c r="CY12" s="35"/>
      <c r="CZ12" s="35"/>
      <c r="DA12" s="35"/>
      <c r="DB12" s="35"/>
      <c r="DC12" s="35"/>
      <c r="DD12" s="35"/>
      <c r="DE12" s="35"/>
      <c r="DF12" s="35"/>
      <c r="DG12" s="35"/>
      <c r="DH12" s="35"/>
      <c r="DI12" s="35"/>
      <c r="DJ12" s="35"/>
      <c r="DK12" s="35"/>
      <c r="DL12" s="35"/>
      <c r="DM12" s="35"/>
      <c r="DN12" s="35"/>
      <c r="DO12" s="35"/>
      <c r="DP12" s="35"/>
      <c r="DQ12" s="35"/>
      <c r="DR12" s="35"/>
      <c r="DS12" s="35"/>
      <c r="DT12" s="35"/>
      <c r="DU12" s="35"/>
      <c r="DV12" s="35"/>
      <c r="DW12" s="35"/>
      <c r="DX12" s="35"/>
      <c r="DY12" s="35"/>
      <c r="DZ12" s="35"/>
      <c r="EA12" s="35"/>
      <c r="EB12" s="35"/>
      <c r="EC12" s="35"/>
      <c r="ED12" s="35"/>
      <c r="EE12" s="35"/>
      <c r="EF12" s="35"/>
      <c r="EG12" s="35"/>
      <c r="EH12" s="35"/>
      <c r="EI12" s="35"/>
      <c r="EJ12" s="35"/>
      <c r="EK12" s="35"/>
      <c r="EL12" s="35">
        <v>80856.433778936713</v>
      </c>
    </row>
    <row r="13" spans="1:142" x14ac:dyDescent="0.25">
      <c r="A13" s="33" t="s">
        <v>352</v>
      </c>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v>205995.50293016198</v>
      </c>
      <c r="BG13" s="35">
        <v>20022.292323937541</v>
      </c>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v>226017.79525409953</v>
      </c>
    </row>
    <row r="14" spans="1:142" x14ac:dyDescent="0.25">
      <c r="A14" s="33" t="s">
        <v>351</v>
      </c>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v>1157.5916814263001</v>
      </c>
      <c r="BG14" s="35">
        <v>57434.720032921643</v>
      </c>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v>58592.311714347947</v>
      </c>
    </row>
    <row r="15" spans="1:142" x14ac:dyDescent="0.25">
      <c r="A15" s="33" t="s">
        <v>350</v>
      </c>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v>3874.070587868704</v>
      </c>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v>3874.070587868704</v>
      </c>
    </row>
    <row r="16" spans="1:142" x14ac:dyDescent="0.25">
      <c r="A16" s="33" t="s">
        <v>349</v>
      </c>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v>4646.7519999999895</v>
      </c>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v>4646.7519999999895</v>
      </c>
    </row>
    <row r="17" spans="1:142" x14ac:dyDescent="0.25">
      <c r="A17" s="33" t="s">
        <v>348</v>
      </c>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v>1</v>
      </c>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v>1</v>
      </c>
    </row>
    <row r="18" spans="1:142" x14ac:dyDescent="0.25">
      <c r="A18" s="33" t="s">
        <v>347</v>
      </c>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v>265777.35384823539</v>
      </c>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v>265777.35384823539</v>
      </c>
    </row>
    <row r="19" spans="1:142" x14ac:dyDescent="0.25">
      <c r="A19" s="33" t="s">
        <v>346</v>
      </c>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v>83271.30903482523</v>
      </c>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v>83271.30903482523</v>
      </c>
    </row>
    <row r="20" spans="1:142" x14ac:dyDescent="0.25">
      <c r="A20" s="33" t="s">
        <v>345</v>
      </c>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v>27058.639307158493</v>
      </c>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v>27058.639307158493</v>
      </c>
    </row>
    <row r="21" spans="1:142" x14ac:dyDescent="0.25">
      <c r="A21" s="33" t="s">
        <v>344</v>
      </c>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v>43502.883350147538</v>
      </c>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v>43502.883350147538</v>
      </c>
    </row>
    <row r="22" spans="1:142" x14ac:dyDescent="0.25">
      <c r="A22" s="33" t="s">
        <v>343</v>
      </c>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v>8783.8423196454842</v>
      </c>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v>8783.8423196454842</v>
      </c>
    </row>
    <row r="23" spans="1:142" x14ac:dyDescent="0.25">
      <c r="A23" s="33" t="s">
        <v>342</v>
      </c>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v>8710.7120316860164</v>
      </c>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v>8710.7120316860164</v>
      </c>
    </row>
    <row r="24" spans="1:142" x14ac:dyDescent="0.25">
      <c r="A24" s="33" t="s">
        <v>341</v>
      </c>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v>44160.074473262706</v>
      </c>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v>44160.074473262706</v>
      </c>
    </row>
    <row r="25" spans="1:142" x14ac:dyDescent="0.25">
      <c r="A25" s="33" t="s">
        <v>340</v>
      </c>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v>75485.287898324154</v>
      </c>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v>75485.287898324154</v>
      </c>
    </row>
    <row r="26" spans="1:142" x14ac:dyDescent="0.25">
      <c r="A26" s="33" t="s">
        <v>339</v>
      </c>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v>41840.768385576797</v>
      </c>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v>41840.768385576797</v>
      </c>
    </row>
    <row r="27" spans="1:142" x14ac:dyDescent="0.25">
      <c r="A27" s="33" t="s">
        <v>338</v>
      </c>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v>66798.947192486798</v>
      </c>
      <c r="BU27" s="35">
        <v>62229.573188161041</v>
      </c>
      <c r="BV27" s="35">
        <v>14431.075661240538</v>
      </c>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v>143459.59604188838</v>
      </c>
    </row>
    <row r="28" spans="1:142" x14ac:dyDescent="0.25">
      <c r="A28" s="33" t="s">
        <v>337</v>
      </c>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v>119797.87963530023</v>
      </c>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v>119797.87963530023</v>
      </c>
    </row>
    <row r="29" spans="1:142" x14ac:dyDescent="0.25">
      <c r="A29" s="33" t="s">
        <v>336</v>
      </c>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v>118993.61324641832</v>
      </c>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v>118993.61324641832</v>
      </c>
    </row>
    <row r="30" spans="1:142" x14ac:dyDescent="0.25">
      <c r="A30" s="33" t="s">
        <v>335</v>
      </c>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v>16407.147377087244</v>
      </c>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v>16407.147377087244</v>
      </c>
    </row>
    <row r="31" spans="1:142" x14ac:dyDescent="0.25">
      <c r="A31" s="33" t="s">
        <v>334</v>
      </c>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v>38482.932737225019</v>
      </c>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v>38482.932737225019</v>
      </c>
    </row>
    <row r="32" spans="1:142" x14ac:dyDescent="0.25">
      <c r="A32" s="33" t="s">
        <v>333</v>
      </c>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v>12175.124401069872</v>
      </c>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v>12175.124401069872</v>
      </c>
    </row>
    <row r="33" spans="1:142" x14ac:dyDescent="0.25">
      <c r="A33" s="33" t="s">
        <v>332</v>
      </c>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v>43034.026847537265</v>
      </c>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v>43034.026847537265</v>
      </c>
    </row>
    <row r="34" spans="1:142" x14ac:dyDescent="0.25">
      <c r="A34" s="33" t="s">
        <v>331</v>
      </c>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v>139745.09915966072</v>
      </c>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v>139745.09915966072</v>
      </c>
    </row>
    <row r="35" spans="1:142" x14ac:dyDescent="0.25">
      <c r="A35" s="33" t="s">
        <v>330</v>
      </c>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v>58378.083425623227</v>
      </c>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v>58378.083425623227</v>
      </c>
    </row>
    <row r="36" spans="1:142" x14ac:dyDescent="0.25">
      <c r="A36" s="33" t="s">
        <v>329</v>
      </c>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v>86497.117032336755</v>
      </c>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v>86497.117032336755</v>
      </c>
    </row>
    <row r="37" spans="1:142" x14ac:dyDescent="0.25">
      <c r="A37" s="33" t="s">
        <v>328</v>
      </c>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v>91469.036572743964</v>
      </c>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v>91469.036572743964</v>
      </c>
    </row>
    <row r="38" spans="1:142" x14ac:dyDescent="0.25">
      <c r="A38" s="33" t="s">
        <v>327</v>
      </c>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v>53698.9174900871</v>
      </c>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v>53698.9174900871</v>
      </c>
    </row>
    <row r="39" spans="1:142" x14ac:dyDescent="0.25">
      <c r="A39" s="33" t="s">
        <v>326</v>
      </c>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v>36473.691071377209</v>
      </c>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v>36473.691071377209</v>
      </c>
    </row>
    <row r="40" spans="1:142" x14ac:dyDescent="0.25">
      <c r="A40" s="33" t="s">
        <v>325</v>
      </c>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v>179750.31350728092</v>
      </c>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c r="EB40" s="35"/>
      <c r="EC40" s="35"/>
      <c r="ED40" s="35"/>
      <c r="EE40" s="35"/>
      <c r="EF40" s="35"/>
      <c r="EG40" s="35"/>
      <c r="EH40" s="35"/>
      <c r="EI40" s="35"/>
      <c r="EJ40" s="35"/>
      <c r="EK40" s="35"/>
      <c r="EL40" s="35">
        <v>179750.31350728092</v>
      </c>
    </row>
    <row r="41" spans="1:142" x14ac:dyDescent="0.25">
      <c r="A41" s="33" t="s">
        <v>324</v>
      </c>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v>19232.415690242549</v>
      </c>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v>19232.415690242549</v>
      </c>
    </row>
    <row r="42" spans="1:142" x14ac:dyDescent="0.25">
      <c r="A42" s="33" t="s">
        <v>323</v>
      </c>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v>19730.995927888711</v>
      </c>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v>19730.995927888711</v>
      </c>
    </row>
    <row r="43" spans="1:142" x14ac:dyDescent="0.25">
      <c r="A43" s="33" t="s">
        <v>322</v>
      </c>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v>49317.260275924687</v>
      </c>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v>49317.260275924687</v>
      </c>
    </row>
    <row r="44" spans="1:142" x14ac:dyDescent="0.25">
      <c r="A44" s="33" t="s">
        <v>321</v>
      </c>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v>141552.76171426754</v>
      </c>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v>141552.76171426754</v>
      </c>
    </row>
    <row r="45" spans="1:142" x14ac:dyDescent="0.25">
      <c r="A45" s="33" t="s">
        <v>320</v>
      </c>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v>50240.643179344377</v>
      </c>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v>50240.643179344377</v>
      </c>
    </row>
    <row r="46" spans="1:142" x14ac:dyDescent="0.25">
      <c r="A46" s="33" t="s">
        <v>319</v>
      </c>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v>372366.40617693763</v>
      </c>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v>372366.40617693763</v>
      </c>
    </row>
    <row r="47" spans="1:142" x14ac:dyDescent="0.25">
      <c r="A47" s="33" t="s">
        <v>318</v>
      </c>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v>702232.04950263188</v>
      </c>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v>702232.04950263188</v>
      </c>
    </row>
    <row r="48" spans="1:142" x14ac:dyDescent="0.25">
      <c r="A48" s="33" t="s">
        <v>317</v>
      </c>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v>79471.122101065645</v>
      </c>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v>79471.122101065645</v>
      </c>
    </row>
    <row r="49" spans="1:142" x14ac:dyDescent="0.25">
      <c r="A49" s="33" t="s">
        <v>316</v>
      </c>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v>1.0075274460309636</v>
      </c>
      <c r="CU49" s="35">
        <v>2408.4688766015297</v>
      </c>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v>2409.4764040475607</v>
      </c>
    </row>
    <row r="50" spans="1:142" x14ac:dyDescent="0.25">
      <c r="A50" s="33" t="s">
        <v>315</v>
      </c>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v>26558.825294834318</v>
      </c>
      <c r="CU50" s="35">
        <v>6352.6184003720873</v>
      </c>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v>32911.443695206406</v>
      </c>
    </row>
    <row r="51" spans="1:142" x14ac:dyDescent="0.25">
      <c r="A51" s="33" t="s">
        <v>314</v>
      </c>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v>59348.008843493073</v>
      </c>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v>59348.008843493073</v>
      </c>
    </row>
    <row r="52" spans="1:142" x14ac:dyDescent="0.25">
      <c r="A52" s="33" t="s">
        <v>313</v>
      </c>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v>124177.47504970986</v>
      </c>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v>124177.47504970986</v>
      </c>
    </row>
    <row r="53" spans="1:142" x14ac:dyDescent="0.25">
      <c r="A53" s="33" t="s">
        <v>312</v>
      </c>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v>388513.53358557384</v>
      </c>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v>388513.53358557384</v>
      </c>
    </row>
    <row r="54" spans="1:142" x14ac:dyDescent="0.25">
      <c r="A54" s="33" t="s">
        <v>311</v>
      </c>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v>173682.68206397866</v>
      </c>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v>173682.68206397866</v>
      </c>
    </row>
    <row r="55" spans="1:142" x14ac:dyDescent="0.25">
      <c r="A55" s="33" t="s">
        <v>310</v>
      </c>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v>542473.29019276693</v>
      </c>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v>542473.29019276693</v>
      </c>
    </row>
    <row r="56" spans="1:142" x14ac:dyDescent="0.25">
      <c r="A56" s="33" t="s">
        <v>309</v>
      </c>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v>958314.03617420956</v>
      </c>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v>958314.03617420956</v>
      </c>
    </row>
    <row r="57" spans="1:142" x14ac:dyDescent="0.25">
      <c r="A57" s="33" t="s">
        <v>308</v>
      </c>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v>728487.09088345035</v>
      </c>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v>728487.09088345035</v>
      </c>
    </row>
    <row r="58" spans="1:142" x14ac:dyDescent="0.25">
      <c r="A58" s="33" t="s">
        <v>307</v>
      </c>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v>615574.14943075681</v>
      </c>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v>615574.14943075681</v>
      </c>
    </row>
    <row r="59" spans="1:142" x14ac:dyDescent="0.25">
      <c r="A59" s="33" t="s">
        <v>306</v>
      </c>
      <c r="B59" s="35">
        <v>4873.052538022469</v>
      </c>
      <c r="C59" s="35">
        <v>516.49239175858645</v>
      </c>
      <c r="D59" s="35">
        <v>53.624064217136585</v>
      </c>
      <c r="E59" s="35">
        <v>11.505146331409493</v>
      </c>
      <c r="F59" s="35">
        <v>1.2098054654823223</v>
      </c>
      <c r="G59" s="35">
        <v>3.8509522686867985</v>
      </c>
      <c r="H59" s="35">
        <v>3.6740468752676225</v>
      </c>
      <c r="I59" s="35">
        <v>0.24245082732893289</v>
      </c>
      <c r="J59" s="35">
        <v>0.29080752176283081</v>
      </c>
      <c r="K59" s="35">
        <v>8.4247490373690038E-4</v>
      </c>
      <c r="L59" s="35">
        <v>67143.489309255136</v>
      </c>
      <c r="M59" s="35">
        <v>9550.3817469384667</v>
      </c>
      <c r="N59" s="35">
        <v>4935.6506523694206</v>
      </c>
      <c r="O59" s="35">
        <v>38.074594005136944</v>
      </c>
      <c r="P59" s="35">
        <v>3907.4485635959604</v>
      </c>
      <c r="Q59" s="35">
        <v>846.82285764238031</v>
      </c>
      <c r="R59" s="35">
        <v>26.207450939046552</v>
      </c>
      <c r="S59" s="35">
        <v>128.92993636716963</v>
      </c>
      <c r="T59" s="35">
        <v>64.647388761057911</v>
      </c>
      <c r="U59" s="35">
        <v>112.96683752259496</v>
      </c>
      <c r="V59" s="35">
        <v>100.92670711363435</v>
      </c>
      <c r="W59" s="35">
        <v>664.43781539454687</v>
      </c>
      <c r="X59" s="35">
        <v>925.16020968811529</v>
      </c>
      <c r="Y59" s="35">
        <v>10.271920701572062</v>
      </c>
      <c r="Z59" s="35">
        <v>14.440581153980876</v>
      </c>
      <c r="AA59" s="35">
        <v>59.635142751714213</v>
      </c>
      <c r="AB59" s="35">
        <v>10.523378084061324</v>
      </c>
      <c r="AC59" s="35">
        <v>76.37230429642932</v>
      </c>
      <c r="AD59" s="35">
        <v>53.894035546886393</v>
      </c>
      <c r="AE59" s="35">
        <v>134.4266717394338</v>
      </c>
      <c r="AF59" s="35">
        <v>86.114302847627883</v>
      </c>
      <c r="AG59" s="35">
        <v>12.278975385051188</v>
      </c>
      <c r="AH59" s="35">
        <v>114.98889229369679</v>
      </c>
      <c r="AI59" s="35">
        <v>60.192016290051413</v>
      </c>
      <c r="AJ59" s="35">
        <v>24.638695324301391</v>
      </c>
      <c r="AK59" s="35">
        <v>1540.433165632905</v>
      </c>
      <c r="AL59" s="35">
        <v>20.503726471238789</v>
      </c>
      <c r="AM59" s="35"/>
      <c r="AN59" s="35">
        <v>2270.2089793927894</v>
      </c>
      <c r="AO59" s="35">
        <v>28.447049210158873</v>
      </c>
      <c r="AP59" s="35">
        <v>338.44215133075289</v>
      </c>
      <c r="AQ59" s="35">
        <v>3.391805994040871E-2</v>
      </c>
      <c r="AR59" s="35">
        <v>0.44395336484999609</v>
      </c>
      <c r="AS59" s="35">
        <v>0.39271316443963966</v>
      </c>
      <c r="AT59" s="35">
        <v>0.46332190664430467</v>
      </c>
      <c r="AU59" s="35">
        <v>1.4495932621107419</v>
      </c>
      <c r="AV59" s="35">
        <v>2.338897060916199</v>
      </c>
      <c r="AW59" s="35"/>
      <c r="AX59" s="35">
        <v>163.70142193448385</v>
      </c>
      <c r="AY59" s="35">
        <v>251.73421536482226</v>
      </c>
      <c r="AZ59" s="35">
        <v>3757.6832285928958</v>
      </c>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v>5149.7561148321083</v>
      </c>
      <c r="DM59" s="35">
        <v>6412.246784362017</v>
      </c>
      <c r="DN59" s="35">
        <v>7179.2136903893215</v>
      </c>
      <c r="DO59" s="35">
        <v>7530.3579778084986</v>
      </c>
      <c r="DP59" s="35">
        <v>6911.5526571299251</v>
      </c>
      <c r="DQ59" s="35">
        <v>7586.8894042559405</v>
      </c>
      <c r="DR59" s="35">
        <v>6625.4025591038262</v>
      </c>
      <c r="DS59" s="35">
        <v>6035.4470710084724</v>
      </c>
      <c r="DT59" s="35">
        <v>7104.760002167106</v>
      </c>
      <c r="DU59" s="35">
        <v>1650.8514951200016</v>
      </c>
      <c r="DV59" s="35">
        <v>1574.5099827543231</v>
      </c>
      <c r="DW59" s="35">
        <v>1725.9652946049459</v>
      </c>
      <c r="DX59" s="35">
        <v>8564.7507023979288</v>
      </c>
      <c r="DY59" s="35">
        <v>3261.0284803429581</v>
      </c>
      <c r="DZ59" s="35"/>
      <c r="EA59" s="35"/>
      <c r="EB59" s="35"/>
      <c r="EC59" s="35"/>
      <c r="ED59" s="35"/>
      <c r="EE59" s="35"/>
      <c r="EF59" s="35"/>
      <c r="EG59" s="35"/>
      <c r="EH59" s="35"/>
      <c r="EI59" s="35"/>
      <c r="EJ59" s="35">
        <v>-3225.777602052578</v>
      </c>
      <c r="EK59" s="35">
        <v>22873.750984019629</v>
      </c>
      <c r="EL59" s="35">
        <v>199903.84596476387</v>
      </c>
    </row>
    <row r="60" spans="1:142" x14ac:dyDescent="0.25">
      <c r="A60" s="33" t="s">
        <v>305</v>
      </c>
      <c r="B60" s="35"/>
      <c r="C60" s="35"/>
      <c r="D60" s="35"/>
      <c r="E60" s="35"/>
      <c r="F60" s="35"/>
      <c r="G60" s="35"/>
      <c r="H60" s="35"/>
      <c r="I60" s="35"/>
      <c r="J60" s="35"/>
      <c r="K60" s="35"/>
      <c r="L60" s="35"/>
      <c r="M60" s="35"/>
      <c r="N60" s="35"/>
      <c r="O60" s="35"/>
      <c r="P60" s="35"/>
      <c r="Q60" s="35"/>
      <c r="R60" s="35">
        <v>5300.3329803224005</v>
      </c>
      <c r="S60" s="35">
        <v>7049.78140745774</v>
      </c>
      <c r="T60" s="35">
        <v>63.230445261469228</v>
      </c>
      <c r="U60" s="35"/>
      <c r="V60" s="35"/>
      <c r="W60" s="35">
        <v>24.100609881616787</v>
      </c>
      <c r="X60" s="35">
        <v>20.936814067281958</v>
      </c>
      <c r="Y60" s="35"/>
      <c r="Z60" s="35"/>
      <c r="AA60" s="35"/>
      <c r="AB60" s="35"/>
      <c r="AC60" s="35"/>
      <c r="AD60" s="35"/>
      <c r="AE60" s="35"/>
      <c r="AF60" s="35"/>
      <c r="AG60" s="35"/>
      <c r="AH60" s="35"/>
      <c r="AI60" s="35"/>
      <c r="AJ60" s="35">
        <v>286.0753152072208</v>
      </c>
      <c r="AK60" s="35">
        <v>16.14231114776986</v>
      </c>
      <c r="AL60" s="35"/>
      <c r="AM60" s="35"/>
      <c r="AN60" s="35"/>
      <c r="AO60" s="35"/>
      <c r="AP60" s="35"/>
      <c r="AQ60" s="35"/>
      <c r="AR60" s="35"/>
      <c r="AS60" s="35"/>
      <c r="AT60" s="35"/>
      <c r="AU60" s="35"/>
      <c r="AV60" s="35"/>
      <c r="AW60" s="35"/>
      <c r="AX60" s="35"/>
      <c r="AY60" s="35"/>
      <c r="AZ60" s="35">
        <v>35.632384110657746</v>
      </c>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v>846.06794435877771</v>
      </c>
      <c r="DM60" s="35">
        <v>1291.9227001929376</v>
      </c>
      <c r="DN60" s="35">
        <v>910.83205480105744</v>
      </c>
      <c r="DO60" s="35">
        <v>847.29174084138481</v>
      </c>
      <c r="DP60" s="35">
        <v>590.87332431034861</v>
      </c>
      <c r="DQ60" s="35">
        <v>660.15206548149285</v>
      </c>
      <c r="DR60" s="35">
        <v>443.0325470755036</v>
      </c>
      <c r="DS60" s="35">
        <v>83.834334195046409</v>
      </c>
      <c r="DT60" s="35">
        <v>293.46488074269973</v>
      </c>
      <c r="DU60" s="35">
        <v>53.717937350683556</v>
      </c>
      <c r="DV60" s="35">
        <v>31.876101172188147</v>
      </c>
      <c r="DW60" s="35">
        <v>20.083180527416406</v>
      </c>
      <c r="DX60" s="35">
        <v>66.794568257479199</v>
      </c>
      <c r="DY60" s="35">
        <v>256.89035509473024</v>
      </c>
      <c r="DZ60" s="35"/>
      <c r="EA60" s="35"/>
      <c r="EB60" s="35"/>
      <c r="EC60" s="35"/>
      <c r="ED60" s="35"/>
      <c r="EE60" s="35"/>
      <c r="EF60" s="35"/>
      <c r="EG60" s="35"/>
      <c r="EH60" s="35"/>
      <c r="EI60" s="35"/>
      <c r="EJ60" s="35">
        <v>261.16782830349081</v>
      </c>
      <c r="EK60" s="35">
        <v>388.57865184937498</v>
      </c>
      <c r="EL60" s="35">
        <v>19842.81248201077</v>
      </c>
    </row>
    <row r="61" spans="1:142" x14ac:dyDescent="0.25">
      <c r="A61" s="33" t="s">
        <v>304</v>
      </c>
      <c r="B61" s="35"/>
      <c r="C61" s="35"/>
      <c r="D61" s="35"/>
      <c r="E61" s="35"/>
      <c r="F61" s="35"/>
      <c r="G61" s="35"/>
      <c r="H61" s="35"/>
      <c r="I61" s="35"/>
      <c r="J61" s="35"/>
      <c r="K61" s="35"/>
      <c r="L61" s="35">
        <v>3108.3255772445168</v>
      </c>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v>117.53641457524442</v>
      </c>
      <c r="AL61" s="35">
        <v>5.641124717430281</v>
      </c>
      <c r="AM61" s="35"/>
      <c r="AN61" s="35"/>
      <c r="AO61" s="35"/>
      <c r="AP61" s="35">
        <v>204.14144084464411</v>
      </c>
      <c r="AQ61" s="35">
        <v>8.9876864916184893E-2</v>
      </c>
      <c r="AR61" s="35">
        <v>1.1763978732539933</v>
      </c>
      <c r="AS61" s="35">
        <v>1.0406204727905644</v>
      </c>
      <c r="AT61" s="35">
        <v>1.2277207791310529</v>
      </c>
      <c r="AU61" s="35">
        <v>3.84116473592087</v>
      </c>
      <c r="AV61" s="35">
        <v>6.197661418971399</v>
      </c>
      <c r="AW61" s="35"/>
      <c r="AX61" s="35">
        <v>35.237323315337704</v>
      </c>
      <c r="AY61" s="35">
        <v>113.10449169090151</v>
      </c>
      <c r="AZ61" s="35">
        <v>418.23507486853055</v>
      </c>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v>27.167641434963933</v>
      </c>
      <c r="DM61" s="35">
        <v>46.771582823154958</v>
      </c>
      <c r="DN61" s="35">
        <v>26.227272634535968</v>
      </c>
      <c r="DO61" s="35">
        <v>57.279884776937422</v>
      </c>
      <c r="DP61" s="35">
        <v>17.02912171831445</v>
      </c>
      <c r="DQ61" s="35">
        <v>92.567093369048422</v>
      </c>
      <c r="DR61" s="35">
        <v>21.496689076638276</v>
      </c>
      <c r="DS61" s="35">
        <v>37.423230101937051</v>
      </c>
      <c r="DT61" s="35">
        <v>166.51262093356166</v>
      </c>
      <c r="DU61" s="35">
        <v>43.897813881576603</v>
      </c>
      <c r="DV61" s="35">
        <v>38.99390841339617</v>
      </c>
      <c r="DW61" s="35">
        <v>51.636890223520766</v>
      </c>
      <c r="DX61" s="35">
        <v>588.07383678895292</v>
      </c>
      <c r="DY61" s="35">
        <v>49.775428767470729</v>
      </c>
      <c r="DZ61" s="35"/>
      <c r="EA61" s="35"/>
      <c r="EB61" s="35"/>
      <c r="EC61" s="35"/>
      <c r="ED61" s="35"/>
      <c r="EE61" s="35"/>
      <c r="EF61" s="35"/>
      <c r="EG61" s="35"/>
      <c r="EH61" s="35"/>
      <c r="EI61" s="35"/>
      <c r="EJ61" s="35">
        <v>168.11252212217383</v>
      </c>
      <c r="EK61" s="35">
        <v>1083.667245644986</v>
      </c>
      <c r="EL61" s="35">
        <v>6532.4276721127571</v>
      </c>
    </row>
    <row r="62" spans="1:142" x14ac:dyDescent="0.25">
      <c r="A62" s="33" t="s">
        <v>303</v>
      </c>
      <c r="B62" s="35"/>
      <c r="C62" s="35"/>
      <c r="D62" s="35"/>
      <c r="E62" s="35">
        <v>1061.9495191978515</v>
      </c>
      <c r="F62" s="35"/>
      <c r="G62" s="35"/>
      <c r="H62" s="35"/>
      <c r="I62" s="35"/>
      <c r="J62" s="35"/>
      <c r="K62" s="35">
        <v>2.4919326050803687E-3</v>
      </c>
      <c r="L62" s="35"/>
      <c r="M62" s="35"/>
      <c r="N62" s="35"/>
      <c r="O62" s="35"/>
      <c r="P62" s="35"/>
      <c r="Q62" s="35"/>
      <c r="R62" s="35"/>
      <c r="S62" s="35"/>
      <c r="T62" s="35"/>
      <c r="U62" s="35">
        <v>7876.8156438645474</v>
      </c>
      <c r="V62" s="35">
        <v>298.52824228269816</v>
      </c>
      <c r="W62" s="35">
        <v>86.000293229705946</v>
      </c>
      <c r="X62" s="35">
        <v>56.912113710486253</v>
      </c>
      <c r="Y62" s="35">
        <v>10.221464478021176</v>
      </c>
      <c r="Z62" s="35"/>
      <c r="AA62" s="35"/>
      <c r="AB62" s="35"/>
      <c r="AC62" s="35"/>
      <c r="AD62" s="35"/>
      <c r="AE62" s="35"/>
      <c r="AF62" s="35"/>
      <c r="AG62" s="35"/>
      <c r="AH62" s="35"/>
      <c r="AI62" s="35"/>
      <c r="AJ62" s="35"/>
      <c r="AK62" s="35"/>
      <c r="AL62" s="35">
        <v>28309.584706766098</v>
      </c>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v>37700.014475462012</v>
      </c>
    </row>
    <row r="63" spans="1:142" x14ac:dyDescent="0.25">
      <c r="A63" s="33" t="s">
        <v>302</v>
      </c>
      <c r="B63" s="35">
        <v>22.002078882827739</v>
      </c>
      <c r="C63" s="35"/>
      <c r="D63" s="35"/>
      <c r="E63" s="35"/>
      <c r="F63" s="35">
        <v>399.50763094814971</v>
      </c>
      <c r="G63" s="35">
        <v>2738.6235330408549</v>
      </c>
      <c r="H63" s="35">
        <v>401.56460322189139</v>
      </c>
      <c r="I63" s="35">
        <v>28.50652492106305</v>
      </c>
      <c r="J63" s="35">
        <v>34.192136845620261</v>
      </c>
      <c r="K63" s="35"/>
      <c r="L63" s="35">
        <v>655.18491735971281</v>
      </c>
      <c r="M63" s="35">
        <v>119.94237517450233</v>
      </c>
      <c r="N63" s="35">
        <v>958.7576880409365</v>
      </c>
      <c r="O63" s="35">
        <v>260.666395886337</v>
      </c>
      <c r="P63" s="35">
        <v>16.6575223541772</v>
      </c>
      <c r="Q63" s="35">
        <v>4.835148658052419</v>
      </c>
      <c r="R63" s="35">
        <v>637.18599464038346</v>
      </c>
      <c r="S63" s="35">
        <v>913.68092441796819</v>
      </c>
      <c r="T63" s="35">
        <v>98.31521545574563</v>
      </c>
      <c r="U63" s="35"/>
      <c r="V63" s="35"/>
      <c r="W63" s="35"/>
      <c r="X63" s="35"/>
      <c r="Y63" s="35"/>
      <c r="Z63" s="35">
        <v>25.381870939054263</v>
      </c>
      <c r="AA63" s="35">
        <v>1693.7535358245941</v>
      </c>
      <c r="AB63" s="35">
        <v>2875.6522041002686</v>
      </c>
      <c r="AC63" s="35">
        <v>35.38172144670947</v>
      </c>
      <c r="AD63" s="35">
        <v>47.056382632119245</v>
      </c>
      <c r="AE63" s="35">
        <v>112.9473647089075</v>
      </c>
      <c r="AF63" s="35">
        <v>61.936616286326476</v>
      </c>
      <c r="AG63" s="35">
        <v>15.643469439310474</v>
      </c>
      <c r="AH63" s="35">
        <v>14.051046873992879</v>
      </c>
      <c r="AI63" s="35">
        <v>18.575917841642859</v>
      </c>
      <c r="AJ63" s="35">
        <v>105.36479492826936</v>
      </c>
      <c r="AK63" s="35">
        <v>45.122709884168039</v>
      </c>
      <c r="AL63" s="35"/>
      <c r="AM63" s="35">
        <v>232.32242111197468</v>
      </c>
      <c r="AN63" s="35"/>
      <c r="AO63" s="35"/>
      <c r="AP63" s="35">
        <v>9.0266981314131218</v>
      </c>
      <c r="AQ63" s="35"/>
      <c r="AR63" s="35"/>
      <c r="AS63" s="35">
        <v>23.151711564122586</v>
      </c>
      <c r="AT63" s="35"/>
      <c r="AU63" s="35"/>
      <c r="AV63" s="35">
        <v>19.453543038282888</v>
      </c>
      <c r="AW63" s="35"/>
      <c r="AX63" s="35">
        <v>29.410171342510065</v>
      </c>
      <c r="AY63" s="35">
        <v>107.5996830060717</v>
      </c>
      <c r="AZ63" s="35">
        <v>25.915833439274873</v>
      </c>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v>11.909247821589975</v>
      </c>
      <c r="DM63" s="35">
        <v>20.124111651489564</v>
      </c>
      <c r="DN63" s="35">
        <v>53.657127227591111</v>
      </c>
      <c r="DO63" s="35">
        <v>48.977417067691434</v>
      </c>
      <c r="DP63" s="35">
        <v>46.997909710121014</v>
      </c>
      <c r="DQ63" s="35">
        <v>116.94715079140205</v>
      </c>
      <c r="DR63" s="35">
        <v>74.339060826321699</v>
      </c>
      <c r="DS63" s="35">
        <v>20.112140891607659</v>
      </c>
      <c r="DT63" s="35">
        <v>4.4543376444845784</v>
      </c>
      <c r="DU63" s="35"/>
      <c r="DV63" s="35"/>
      <c r="DW63" s="35"/>
      <c r="DX63" s="35">
        <v>6.4591076434658037</v>
      </c>
      <c r="DY63" s="35">
        <v>17.629792181663984</v>
      </c>
      <c r="DZ63" s="35"/>
      <c r="EA63" s="35"/>
      <c r="EB63" s="35"/>
      <c r="EC63" s="35"/>
      <c r="ED63" s="35"/>
      <c r="EE63" s="35"/>
      <c r="EF63" s="35"/>
      <c r="EG63" s="35"/>
      <c r="EH63" s="35"/>
      <c r="EI63" s="35"/>
      <c r="EJ63" s="35"/>
      <c r="EK63" s="35">
        <v>48585.161481510229</v>
      </c>
      <c r="EL63" s="35">
        <v>61794.139271354892</v>
      </c>
    </row>
    <row r="64" spans="1:142" x14ac:dyDescent="0.25">
      <c r="A64" s="33" t="s">
        <v>301</v>
      </c>
      <c r="B64" s="35"/>
      <c r="C64" s="35"/>
      <c r="D64" s="35"/>
      <c r="E64" s="35"/>
      <c r="F64" s="35"/>
      <c r="G64" s="35"/>
      <c r="H64" s="35">
        <v>0.16763635597956994</v>
      </c>
      <c r="I64" s="35">
        <v>1.1062344759739547E-2</v>
      </c>
      <c r="J64" s="35">
        <v>1.326872380642107E-2</v>
      </c>
      <c r="K64" s="35"/>
      <c r="L64" s="35"/>
      <c r="M64" s="35"/>
      <c r="N64" s="35"/>
      <c r="O64" s="35"/>
      <c r="P64" s="35"/>
      <c r="Q64" s="35"/>
      <c r="R64" s="35">
        <v>10.139108227467178</v>
      </c>
      <c r="S64" s="35"/>
      <c r="T64" s="35">
        <v>0.34279758834101676</v>
      </c>
      <c r="U64" s="35">
        <v>7.8661643854153827</v>
      </c>
      <c r="V64" s="35"/>
      <c r="W64" s="35"/>
      <c r="X64" s="35"/>
      <c r="Y64" s="35"/>
      <c r="Z64" s="35"/>
      <c r="AA64" s="35">
        <v>0.19349029286215219</v>
      </c>
      <c r="AB64" s="35">
        <v>31371.201858545377</v>
      </c>
      <c r="AC64" s="35">
        <v>8525.2610187109021</v>
      </c>
      <c r="AD64" s="35">
        <v>1957.279518209898</v>
      </c>
      <c r="AE64" s="35">
        <v>1699.4876479540878</v>
      </c>
      <c r="AF64" s="35">
        <v>1860.9466919769684</v>
      </c>
      <c r="AG64" s="35">
        <v>491.82505519526438</v>
      </c>
      <c r="AH64" s="35">
        <v>2785.320165287857</v>
      </c>
      <c r="AI64" s="35">
        <v>239.59598477423225</v>
      </c>
      <c r="AJ64" s="35"/>
      <c r="AK64" s="35">
        <v>204.5826830786406</v>
      </c>
      <c r="AL64" s="35"/>
      <c r="AM64" s="35"/>
      <c r="AN64" s="35"/>
      <c r="AO64" s="35"/>
      <c r="AP64" s="35"/>
      <c r="AQ64" s="35"/>
      <c r="AR64" s="35"/>
      <c r="AS64" s="35"/>
      <c r="AT64" s="35"/>
      <c r="AU64" s="35"/>
      <c r="AV64" s="35"/>
      <c r="AW64" s="35"/>
      <c r="AX64" s="35">
        <v>991.83445878415307</v>
      </c>
      <c r="AY64" s="35"/>
      <c r="AZ64" s="35">
        <v>6.4501285687365417</v>
      </c>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v>1657.6411625104656</v>
      </c>
      <c r="EK64" s="35">
        <v>242693.76129402485</v>
      </c>
      <c r="EL64" s="35">
        <v>294503.92119554005</v>
      </c>
    </row>
    <row r="65" spans="1:142" x14ac:dyDescent="0.25">
      <c r="A65" s="33" t="s">
        <v>300</v>
      </c>
      <c r="B65" s="35">
        <v>3440.0489575719371</v>
      </c>
      <c r="C65" s="35">
        <v>365.81670813320528</v>
      </c>
      <c r="D65" s="35">
        <v>37.127331712721301</v>
      </c>
      <c r="E65" s="35">
        <v>251.6278982064774</v>
      </c>
      <c r="F65" s="35">
        <v>92.245997787398963</v>
      </c>
      <c r="G65" s="35">
        <v>635.68624743926227</v>
      </c>
      <c r="H65" s="35">
        <v>163.75846758045628</v>
      </c>
      <c r="I65" s="35">
        <v>10.831424825316715</v>
      </c>
      <c r="J65" s="35">
        <v>12.99174700830096</v>
      </c>
      <c r="K65" s="35">
        <v>5.6735816543919515E-2</v>
      </c>
      <c r="L65" s="35">
        <v>190.30464146954148</v>
      </c>
      <c r="M65" s="35">
        <v>7.9826314211113025E-2</v>
      </c>
      <c r="N65" s="35">
        <v>24.227184178594285</v>
      </c>
      <c r="O65" s="35"/>
      <c r="P65" s="35"/>
      <c r="Q65" s="35"/>
      <c r="R65" s="35">
        <v>572.69767364688687</v>
      </c>
      <c r="S65" s="35"/>
      <c r="T65" s="35">
        <v>348.78505130489538</v>
      </c>
      <c r="U65" s="35">
        <v>2.6232555683235408E-8</v>
      </c>
      <c r="V65" s="35">
        <v>6796.8305213389467</v>
      </c>
      <c r="W65" s="35">
        <v>3603.8000479329553</v>
      </c>
      <c r="X65" s="35"/>
      <c r="Y65" s="35">
        <v>554.32461683087513</v>
      </c>
      <c r="Z65" s="35">
        <v>1708.4691033997067</v>
      </c>
      <c r="AA65" s="35">
        <v>14163.274581948517</v>
      </c>
      <c r="AB65" s="35">
        <v>165.93701815591839</v>
      </c>
      <c r="AC65" s="35"/>
      <c r="AD65" s="35"/>
      <c r="AE65" s="35">
        <v>517.12641128070243</v>
      </c>
      <c r="AF65" s="35"/>
      <c r="AG65" s="35">
        <v>7.6298614117325609</v>
      </c>
      <c r="AH65" s="35">
        <v>131.93754385032963</v>
      </c>
      <c r="AI65" s="35">
        <v>0.22744123487176995</v>
      </c>
      <c r="AJ65" s="35">
        <v>4.9364138212353641</v>
      </c>
      <c r="AK65" s="35">
        <v>5446.2636387643824</v>
      </c>
      <c r="AL65" s="35">
        <v>0.15200000000004366</v>
      </c>
      <c r="AM65" s="35">
        <v>40.242725256153484</v>
      </c>
      <c r="AN65" s="35">
        <v>12804.488914243479</v>
      </c>
      <c r="AO65" s="35"/>
      <c r="AP65" s="35">
        <v>33.802198225017897</v>
      </c>
      <c r="AQ65" s="35">
        <v>18.271733712579934</v>
      </c>
      <c r="AR65" s="35">
        <v>239.1616577150908</v>
      </c>
      <c r="AS65" s="35">
        <v>211.44773253281483</v>
      </c>
      <c r="AT65" s="35">
        <v>249.60841241576665</v>
      </c>
      <c r="AU65" s="35">
        <v>780.94876934414935</v>
      </c>
      <c r="AV65" s="35">
        <v>1259.3893385276619</v>
      </c>
      <c r="AW65" s="35"/>
      <c r="AX65" s="35">
        <v>1274.8643044280293</v>
      </c>
      <c r="AY65" s="35">
        <v>2517.4258329889499</v>
      </c>
      <c r="AZ65" s="35">
        <v>7462.1240056966499</v>
      </c>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v>34.829001052571044</v>
      </c>
      <c r="DM65" s="35">
        <v>58.853650238190419</v>
      </c>
      <c r="DN65" s="35">
        <v>156.9220969018518</v>
      </c>
      <c r="DO65" s="35">
        <v>143.23612508175134</v>
      </c>
      <c r="DP65" s="35">
        <v>137.44698836436734</v>
      </c>
      <c r="DQ65" s="35">
        <v>131.53390955662664</v>
      </c>
      <c r="DR65" s="35">
        <v>83.611334154648347</v>
      </c>
      <c r="DS65" s="35">
        <v>22.620718017709461</v>
      </c>
      <c r="DT65" s="35">
        <v>12.736295736659008</v>
      </c>
      <c r="DU65" s="35"/>
      <c r="DV65" s="35"/>
      <c r="DW65" s="35"/>
      <c r="DX65" s="35">
        <v>18.468538244728009</v>
      </c>
      <c r="DY65" s="35">
        <v>50.408896882690875</v>
      </c>
      <c r="DZ65" s="35"/>
      <c r="EA65" s="35"/>
      <c r="EB65" s="35"/>
      <c r="EC65" s="35"/>
      <c r="ED65" s="35"/>
      <c r="EE65" s="35"/>
      <c r="EF65" s="35"/>
      <c r="EG65" s="35"/>
      <c r="EH65" s="35"/>
      <c r="EI65" s="35"/>
      <c r="EJ65" s="35">
        <v>1138.9734354472084</v>
      </c>
      <c r="EK65" s="35">
        <v>51726.409795407199</v>
      </c>
      <c r="EL65" s="35">
        <v>119855.02150316469</v>
      </c>
    </row>
    <row r="66" spans="1:142" x14ac:dyDescent="0.25">
      <c r="A66" s="33" t="s">
        <v>299</v>
      </c>
      <c r="B66" s="35"/>
      <c r="C66" s="35"/>
      <c r="D66" s="35"/>
      <c r="E66" s="35"/>
      <c r="F66" s="35"/>
      <c r="G66" s="35"/>
      <c r="H66" s="35"/>
      <c r="I66" s="35"/>
      <c r="J66" s="35"/>
      <c r="K66" s="35"/>
      <c r="L66" s="35"/>
      <c r="M66" s="35"/>
      <c r="N66" s="35"/>
      <c r="O66" s="35"/>
      <c r="P66" s="35"/>
      <c r="Q66" s="35"/>
      <c r="R66" s="35"/>
      <c r="S66" s="35"/>
      <c r="T66" s="35"/>
      <c r="U66" s="35">
        <v>79901.8859675555</v>
      </c>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c r="DR66" s="35"/>
      <c r="DS66" s="35"/>
      <c r="DT66" s="35"/>
      <c r="DU66" s="35"/>
      <c r="DV66" s="35"/>
      <c r="DW66" s="35"/>
      <c r="DX66" s="35"/>
      <c r="DY66" s="35"/>
      <c r="DZ66" s="35"/>
      <c r="EA66" s="35"/>
      <c r="EB66" s="35"/>
      <c r="EC66" s="35"/>
      <c r="ED66" s="35"/>
      <c r="EE66" s="35"/>
      <c r="EF66" s="35"/>
      <c r="EG66" s="35"/>
      <c r="EH66" s="35"/>
      <c r="EI66" s="35"/>
      <c r="EJ66" s="35"/>
      <c r="EK66" s="35"/>
      <c r="EL66" s="35">
        <v>79901.8859675555</v>
      </c>
    </row>
    <row r="67" spans="1:142" x14ac:dyDescent="0.25">
      <c r="A67" s="33" t="s">
        <v>298</v>
      </c>
      <c r="B67" s="35"/>
      <c r="C67" s="35"/>
      <c r="D67" s="35"/>
      <c r="E67" s="35">
        <v>7.3324107728828025</v>
      </c>
      <c r="F67" s="35">
        <v>2.6880387777059132</v>
      </c>
      <c r="G67" s="35">
        <v>18.523831109825259</v>
      </c>
      <c r="H67" s="35">
        <v>5.1615145910580278</v>
      </c>
      <c r="I67" s="35">
        <v>0.31562659244426367</v>
      </c>
      <c r="J67" s="35">
        <v>0.37857815608373463</v>
      </c>
      <c r="K67" s="35">
        <v>1.0012423554607294E-2</v>
      </c>
      <c r="L67" s="35">
        <v>418.12860929229953</v>
      </c>
      <c r="M67" s="35">
        <v>0.17539070770044751</v>
      </c>
      <c r="N67" s="35">
        <v>2.1437284144423732</v>
      </c>
      <c r="O67" s="35"/>
      <c r="P67" s="35"/>
      <c r="Q67" s="35"/>
      <c r="R67" s="35">
        <v>50.67482324118405</v>
      </c>
      <c r="S67" s="35">
        <v>599.37184000000002</v>
      </c>
      <c r="T67" s="35">
        <v>30.862044037113858</v>
      </c>
      <c r="U67" s="35">
        <v>7357.4719999996732</v>
      </c>
      <c r="V67" s="35">
        <v>1199.4671118524896</v>
      </c>
      <c r="W67" s="35">
        <v>635.9787288526453</v>
      </c>
      <c r="X67" s="35"/>
      <c r="Y67" s="35">
        <v>97.824146871310603</v>
      </c>
      <c r="Z67" s="35">
        <v>245.42761677525013</v>
      </c>
      <c r="AA67" s="35">
        <v>2034.6043832247501</v>
      </c>
      <c r="AB67" s="35">
        <v>2265.4549818440819</v>
      </c>
      <c r="AC67" s="35">
        <v>331.61599999999999</v>
      </c>
      <c r="AD67" s="35">
        <v>165.93701815591868</v>
      </c>
      <c r="AE67" s="35">
        <v>45.757632151925002</v>
      </c>
      <c r="AF67" s="35"/>
      <c r="AG67" s="35">
        <v>0.67512388505470622</v>
      </c>
      <c r="AH67" s="35">
        <v>11.67441744771922</v>
      </c>
      <c r="AI67" s="35">
        <v>2.0125006447974457E-2</v>
      </c>
      <c r="AJ67" s="35">
        <v>0.43679572896375746</v>
      </c>
      <c r="AK67" s="35">
        <v>481.90949591571336</v>
      </c>
      <c r="AL67" s="35">
        <v>410.04799999999994</v>
      </c>
      <c r="AM67" s="35">
        <v>2.1631654333537146E-2</v>
      </c>
      <c r="AN67" s="35">
        <v>1132.9978141714357</v>
      </c>
      <c r="AO67" s="35"/>
      <c r="AP67" s="35">
        <v>1.8169680682982151E-2</v>
      </c>
      <c r="AQ67" s="35"/>
      <c r="AR67" s="35"/>
      <c r="AS67" s="35">
        <v>0.11365940628140399</v>
      </c>
      <c r="AT67" s="35"/>
      <c r="AU67" s="35"/>
      <c r="AV67" s="35">
        <v>0.67695899492310641</v>
      </c>
      <c r="AW67" s="35"/>
      <c r="AX67" s="35">
        <v>0.68527724650893396</v>
      </c>
      <c r="AY67" s="35">
        <v>1.3531907961727052</v>
      </c>
      <c r="AZ67" s="35">
        <v>4.0111122210973313</v>
      </c>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c r="DR67" s="35"/>
      <c r="DS67" s="35"/>
      <c r="DT67" s="35"/>
      <c r="DU67" s="35"/>
      <c r="DV67" s="35"/>
      <c r="DW67" s="35"/>
      <c r="DX67" s="35"/>
      <c r="DY67" s="35"/>
      <c r="DZ67" s="35"/>
      <c r="EA67" s="35"/>
      <c r="EB67" s="35"/>
      <c r="EC67" s="35"/>
      <c r="ED67" s="35"/>
      <c r="EE67" s="35"/>
      <c r="EF67" s="35"/>
      <c r="EG67" s="35"/>
      <c r="EH67" s="35"/>
      <c r="EI67" s="35"/>
      <c r="EJ67" s="35"/>
      <c r="EK67" s="35">
        <v>1.6955248535156249</v>
      </c>
      <c r="EL67" s="35">
        <v>17561.643364853189</v>
      </c>
    </row>
    <row r="68" spans="1:142" x14ac:dyDescent="0.25">
      <c r="A68" s="33" t="s">
        <v>297</v>
      </c>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v>1</v>
      </c>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c r="DR68" s="35"/>
      <c r="DS68" s="35"/>
      <c r="DT68" s="35"/>
      <c r="DU68" s="35"/>
      <c r="DV68" s="35"/>
      <c r="DW68" s="35"/>
      <c r="DX68" s="35"/>
      <c r="DY68" s="35"/>
      <c r="DZ68" s="35"/>
      <c r="EA68" s="35"/>
      <c r="EB68" s="35"/>
      <c r="EC68" s="35"/>
      <c r="ED68" s="35"/>
      <c r="EE68" s="35"/>
      <c r="EF68" s="35"/>
      <c r="EG68" s="35"/>
      <c r="EH68" s="35"/>
      <c r="EI68" s="35"/>
      <c r="EJ68" s="35"/>
      <c r="EK68" s="35"/>
      <c r="EL68" s="35">
        <v>1</v>
      </c>
    </row>
    <row r="69" spans="1:142" x14ac:dyDescent="0.25">
      <c r="A69" s="33" t="s">
        <v>296</v>
      </c>
      <c r="B69" s="35">
        <v>9886.1109202205243</v>
      </c>
      <c r="C69" s="35">
        <v>1046.9189324965855</v>
      </c>
      <c r="D69" s="35">
        <v>109.67099595965833</v>
      </c>
      <c r="E69" s="35">
        <v>3.2404717141586641</v>
      </c>
      <c r="F69" s="35"/>
      <c r="G69" s="35"/>
      <c r="H69" s="35">
        <v>0.71061338575284771</v>
      </c>
      <c r="I69" s="35">
        <v>4.6893469010038775E-2</v>
      </c>
      <c r="J69" s="35">
        <v>5.6246347599260657E-2</v>
      </c>
      <c r="K69" s="35">
        <v>1.1787414449050038E-2</v>
      </c>
      <c r="L69" s="35">
        <v>54794.726807006555</v>
      </c>
      <c r="M69" s="35">
        <v>5996.7530248382182</v>
      </c>
      <c r="N69" s="35">
        <v>27.767171342603092</v>
      </c>
      <c r="O69" s="35">
        <v>4.0558108927281324</v>
      </c>
      <c r="P69" s="35">
        <v>271.42126808225959</v>
      </c>
      <c r="Q69" s="35"/>
      <c r="R69" s="35">
        <v>1.8768236284844901</v>
      </c>
      <c r="S69" s="35">
        <v>331.18531103035821</v>
      </c>
      <c r="T69" s="35"/>
      <c r="U69" s="35">
        <v>2.4615930498404257E-2</v>
      </c>
      <c r="V69" s="35">
        <v>1412.1072573786953</v>
      </c>
      <c r="W69" s="35">
        <v>3209.7683243070956</v>
      </c>
      <c r="X69" s="35"/>
      <c r="Y69" s="35">
        <v>9.8207305300825221E-2</v>
      </c>
      <c r="Z69" s="35"/>
      <c r="AA69" s="35">
        <v>93.424705872181747</v>
      </c>
      <c r="AB69" s="35"/>
      <c r="AC69" s="35"/>
      <c r="AD69" s="35"/>
      <c r="AE69" s="35">
        <v>15.822519570685953</v>
      </c>
      <c r="AF69" s="35"/>
      <c r="AG69" s="35"/>
      <c r="AH69" s="35"/>
      <c r="AI69" s="35"/>
      <c r="AJ69" s="35"/>
      <c r="AK69" s="35">
        <v>1721.6012440349305</v>
      </c>
      <c r="AL69" s="35">
        <v>219.13109528992584</v>
      </c>
      <c r="AM69" s="35"/>
      <c r="AN69" s="35"/>
      <c r="AO69" s="35">
        <v>1702.6741629636756</v>
      </c>
      <c r="AP69" s="35">
        <v>4484.465327129089</v>
      </c>
      <c r="AQ69" s="35">
        <v>2.6595327930454298</v>
      </c>
      <c r="AR69" s="35">
        <v>34.810605634170741</v>
      </c>
      <c r="AS69" s="35">
        <v>30.792851017902848</v>
      </c>
      <c r="AT69" s="35">
        <v>36.32927345470393</v>
      </c>
      <c r="AU69" s="35">
        <v>113.66324203993864</v>
      </c>
      <c r="AV69" s="35">
        <v>183.39389330512333</v>
      </c>
      <c r="AW69" s="35"/>
      <c r="AX69" s="35">
        <v>6846.3505225621693</v>
      </c>
      <c r="AY69" s="35">
        <v>2969.8808029066604</v>
      </c>
      <c r="AZ69" s="35">
        <v>7458.5429210849134</v>
      </c>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v>16555.524281731879</v>
      </c>
      <c r="DM69" s="35">
        <v>20056.984656949557</v>
      </c>
      <c r="DN69" s="35">
        <v>22745.853964017137</v>
      </c>
      <c r="DO69" s="35">
        <v>23895.280329553185</v>
      </c>
      <c r="DP69" s="35">
        <v>23699.588113381611</v>
      </c>
      <c r="DQ69" s="35">
        <v>25424.884814570691</v>
      </c>
      <c r="DR69" s="35">
        <v>27220.738371132487</v>
      </c>
      <c r="DS69" s="35">
        <v>28393.316440783576</v>
      </c>
      <c r="DT69" s="35">
        <v>39134.743492840556</v>
      </c>
      <c r="DU69" s="35">
        <v>8636.1383632831294</v>
      </c>
      <c r="DV69" s="35">
        <v>9189.6393650824775</v>
      </c>
      <c r="DW69" s="35">
        <v>9537.3853426227051</v>
      </c>
      <c r="DX69" s="35">
        <v>11025.03100193247</v>
      </c>
      <c r="DY69" s="35">
        <v>13573.795121911906</v>
      </c>
      <c r="DZ69" s="35"/>
      <c r="EA69" s="35"/>
      <c r="EB69" s="35"/>
      <c r="EC69" s="35"/>
      <c r="ED69" s="35"/>
      <c r="EE69" s="35"/>
      <c r="EF69" s="35"/>
      <c r="EG69" s="35"/>
      <c r="EH69" s="35"/>
      <c r="EI69" s="35"/>
      <c r="EJ69" s="35">
        <v>4885.7729679855565</v>
      </c>
      <c r="EK69" s="35">
        <v>28462.364944513407</v>
      </c>
      <c r="EL69" s="35">
        <v>415447.13575470191</v>
      </c>
    </row>
    <row r="70" spans="1:142" x14ac:dyDescent="0.25">
      <c r="A70" s="33" t="s">
        <v>295</v>
      </c>
      <c r="B70" s="35"/>
      <c r="C70" s="35"/>
      <c r="D70" s="35"/>
      <c r="E70" s="35">
        <v>510.88401411766381</v>
      </c>
      <c r="F70" s="35">
        <v>31.42222042311074</v>
      </c>
      <c r="G70" s="35">
        <v>142.51224280405307</v>
      </c>
      <c r="H70" s="35">
        <v>153.08791350195284</v>
      </c>
      <c r="I70" s="35">
        <v>10.102291163583748</v>
      </c>
      <c r="J70" s="35">
        <v>12.117188007870119</v>
      </c>
      <c r="K70" s="35">
        <v>2.8440429530388276E-5</v>
      </c>
      <c r="L70" s="35">
        <v>509.88789994793041</v>
      </c>
      <c r="M70" s="35">
        <v>12545.465816950144</v>
      </c>
      <c r="N70" s="35"/>
      <c r="O70" s="35"/>
      <c r="P70" s="35"/>
      <c r="Q70" s="35"/>
      <c r="R70" s="35"/>
      <c r="S70" s="35"/>
      <c r="T70" s="35"/>
      <c r="U70" s="35"/>
      <c r="V70" s="35">
        <v>3.407103153657693</v>
      </c>
      <c r="W70" s="35">
        <v>0.59932003602470352</v>
      </c>
      <c r="X70" s="35"/>
      <c r="Y70" s="35"/>
      <c r="Z70" s="35"/>
      <c r="AA70" s="35"/>
      <c r="AB70" s="35"/>
      <c r="AC70" s="35"/>
      <c r="AD70" s="35"/>
      <c r="AE70" s="35"/>
      <c r="AF70" s="35"/>
      <c r="AG70" s="35"/>
      <c r="AH70" s="35"/>
      <c r="AI70" s="35"/>
      <c r="AJ70" s="35"/>
      <c r="AK70" s="35">
        <v>8.266947644782654</v>
      </c>
      <c r="AL70" s="35"/>
      <c r="AM70" s="35"/>
      <c r="AN70" s="35"/>
      <c r="AO70" s="35"/>
      <c r="AP70" s="35">
        <v>16089.367132772255</v>
      </c>
      <c r="AQ70" s="35">
        <v>48.594360192143</v>
      </c>
      <c r="AR70" s="35">
        <v>636.04028800072069</v>
      </c>
      <c r="AS70" s="35">
        <v>562.64335040022888</v>
      </c>
      <c r="AT70" s="35">
        <v>663.75271441164455</v>
      </c>
      <c r="AU70" s="35">
        <v>2076.6802707161892</v>
      </c>
      <c r="AV70" s="35">
        <v>3350.6341257113918</v>
      </c>
      <c r="AW70" s="35"/>
      <c r="AX70" s="35">
        <v>3.5870407172227483</v>
      </c>
      <c r="AY70" s="35">
        <v>1859.2816135315807</v>
      </c>
      <c r="AZ70" s="35">
        <v>8199.0355690543947</v>
      </c>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v>1946.5416210289968</v>
      </c>
      <c r="DM70" s="35">
        <v>3293.7577300631201</v>
      </c>
      <c r="DN70" s="35">
        <v>5118.4409955109531</v>
      </c>
      <c r="DO70" s="35">
        <v>6478.4476270484911</v>
      </c>
      <c r="DP70" s="35">
        <v>8196.9010481142905</v>
      </c>
      <c r="DQ70" s="35">
        <v>10491.836568202032</v>
      </c>
      <c r="DR70" s="35">
        <v>12636.751023850356</v>
      </c>
      <c r="DS70" s="35">
        <v>14350.585170086519</v>
      </c>
      <c r="DT70" s="35">
        <v>22716.809206946404</v>
      </c>
      <c r="DU70" s="35">
        <v>4904.1755094863056</v>
      </c>
      <c r="DV70" s="35">
        <v>5562.2307728124097</v>
      </c>
      <c r="DW70" s="35">
        <v>5476.1744871223509</v>
      </c>
      <c r="DX70" s="35">
        <v>8938.9296867484663</v>
      </c>
      <c r="DY70" s="35">
        <v>9755.8486220437189</v>
      </c>
      <c r="DZ70" s="35"/>
      <c r="EA70" s="35"/>
      <c r="EB70" s="35"/>
      <c r="EC70" s="35"/>
      <c r="ED70" s="35"/>
      <c r="EE70" s="35"/>
      <c r="EF70" s="35"/>
      <c r="EG70" s="35"/>
      <c r="EH70" s="35"/>
      <c r="EI70" s="35"/>
      <c r="EJ70" s="35">
        <v>2472.7462899288903</v>
      </c>
      <c r="EK70" s="35">
        <v>13913.787371085549</v>
      </c>
      <c r="EL70" s="35">
        <v>183671.33318177788</v>
      </c>
    </row>
    <row r="71" spans="1:142" x14ac:dyDescent="0.25">
      <c r="A71" s="33" t="s">
        <v>294</v>
      </c>
      <c r="B71" s="35"/>
      <c r="C71" s="35"/>
      <c r="D71" s="35"/>
      <c r="E71" s="35"/>
      <c r="F71" s="35"/>
      <c r="G71" s="35"/>
      <c r="H71" s="35"/>
      <c r="I71" s="35"/>
      <c r="J71" s="35"/>
      <c r="K71" s="35">
        <v>1.6384235510025525E-4</v>
      </c>
      <c r="L71" s="35">
        <v>50.571529665689596</v>
      </c>
      <c r="M71" s="35">
        <v>394.87044213255797</v>
      </c>
      <c r="N71" s="35">
        <v>8368.2333721170889</v>
      </c>
      <c r="O71" s="35">
        <v>18257.525934099398</v>
      </c>
      <c r="P71" s="35">
        <v>23.5926180303012</v>
      </c>
      <c r="Q71" s="35">
        <v>382.67758068076182</v>
      </c>
      <c r="R71" s="35">
        <v>81.330798413189981</v>
      </c>
      <c r="S71" s="35">
        <v>47.722753594238554</v>
      </c>
      <c r="T71" s="35">
        <v>588.99688293786653</v>
      </c>
      <c r="U71" s="35">
        <v>39.70718711255747</v>
      </c>
      <c r="V71" s="35">
        <v>19.627966735464501</v>
      </c>
      <c r="W71" s="35">
        <v>306.58632598927056</v>
      </c>
      <c r="X71" s="35">
        <v>1160.8812145434269</v>
      </c>
      <c r="Y71" s="35">
        <v>142.01961385520656</v>
      </c>
      <c r="Z71" s="35"/>
      <c r="AA71" s="35">
        <v>108.4044590110051</v>
      </c>
      <c r="AB71" s="35"/>
      <c r="AC71" s="35"/>
      <c r="AD71" s="35">
        <v>175.24555713908578</v>
      </c>
      <c r="AE71" s="35">
        <v>49.747835891863119</v>
      </c>
      <c r="AF71" s="35">
        <v>11.613236749484182</v>
      </c>
      <c r="AG71" s="35"/>
      <c r="AH71" s="35">
        <v>1434.9240269663364</v>
      </c>
      <c r="AI71" s="35">
        <v>14.927235308480498</v>
      </c>
      <c r="AJ71" s="35">
        <v>723.76113029625378</v>
      </c>
      <c r="AK71" s="35">
        <v>396.16375280431623</v>
      </c>
      <c r="AL71" s="35"/>
      <c r="AM71" s="35"/>
      <c r="AN71" s="35"/>
      <c r="AO71" s="35"/>
      <c r="AP71" s="35"/>
      <c r="AQ71" s="35">
        <v>5.5439135727666913E-2</v>
      </c>
      <c r="AR71" s="35">
        <v>0.72564274479970536</v>
      </c>
      <c r="AS71" s="35">
        <v>0.64189052760394016</v>
      </c>
      <c r="AT71" s="35">
        <v>0.75730104474727389</v>
      </c>
      <c r="AU71" s="35">
        <v>2.369364530604519</v>
      </c>
      <c r="AV71" s="35">
        <v>3.8229347996501266</v>
      </c>
      <c r="AW71" s="35">
        <v>3.0176353396349502</v>
      </c>
      <c r="AX71" s="35">
        <v>0.41093806568527075</v>
      </c>
      <c r="AY71" s="35">
        <v>26.840991203984142</v>
      </c>
      <c r="AZ71" s="35">
        <v>942.16053754766335</v>
      </c>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v>5.2375979614914572</v>
      </c>
      <c r="DM71" s="35">
        <v>21.615476803865015</v>
      </c>
      <c r="DN71" s="35">
        <v>49.388872525051916</v>
      </c>
      <c r="DO71" s="35">
        <v>45.477886847563404</v>
      </c>
      <c r="DP71" s="35">
        <v>69.714073966621157</v>
      </c>
      <c r="DQ71" s="35">
        <v>79.726125947061817</v>
      </c>
      <c r="DR71" s="35">
        <v>54.802315172753069</v>
      </c>
      <c r="DS71" s="35">
        <v>115.52783087464506</v>
      </c>
      <c r="DT71" s="35">
        <v>189.47288423395659</v>
      </c>
      <c r="DU71" s="35">
        <v>33.351724993213068</v>
      </c>
      <c r="DV71" s="35">
        <v>50.027765299518663</v>
      </c>
      <c r="DW71" s="35">
        <v>71.978085085178193</v>
      </c>
      <c r="DX71" s="35">
        <v>124.4556606569822</v>
      </c>
      <c r="DY71" s="35">
        <v>169.01140196239626</v>
      </c>
      <c r="DZ71" s="35"/>
      <c r="EA71" s="35"/>
      <c r="EB71" s="35"/>
      <c r="EC71" s="35"/>
      <c r="ED71" s="35"/>
      <c r="EE71" s="35"/>
      <c r="EF71" s="35"/>
      <c r="EG71" s="35"/>
      <c r="EH71" s="35"/>
      <c r="EI71" s="35"/>
      <c r="EJ71" s="35">
        <v>751.08673178457275</v>
      </c>
      <c r="EK71" s="35">
        <v>1251.8627529960024</v>
      </c>
      <c r="EL71" s="35">
        <v>36842.671479967161</v>
      </c>
    </row>
    <row r="72" spans="1:142" x14ac:dyDescent="0.25">
      <c r="A72" s="33" t="s">
        <v>293</v>
      </c>
      <c r="B72" s="35">
        <v>2028.0366056948128</v>
      </c>
      <c r="C72" s="35">
        <v>214.30917353139697</v>
      </c>
      <c r="D72" s="35">
        <v>22.711644879508221</v>
      </c>
      <c r="E72" s="35">
        <v>205.07007409888575</v>
      </c>
      <c r="F72" s="35">
        <v>114.87566226637986</v>
      </c>
      <c r="G72" s="35">
        <v>831.70053793615716</v>
      </c>
      <c r="H72" s="35">
        <v>183.4648362233074</v>
      </c>
      <c r="I72" s="35">
        <v>12.106868213233668</v>
      </c>
      <c r="J72" s="35">
        <v>14.521576932476499</v>
      </c>
      <c r="K72" s="35"/>
      <c r="L72" s="35"/>
      <c r="M72" s="35"/>
      <c r="N72" s="35">
        <v>887.12855126054205</v>
      </c>
      <c r="O72" s="35">
        <v>2381.9724477513737</v>
      </c>
      <c r="P72" s="35">
        <v>59.469436431465525</v>
      </c>
      <c r="Q72" s="35">
        <v>137.82181176287745</v>
      </c>
      <c r="R72" s="35"/>
      <c r="S72" s="35">
        <v>842.76287053570184</v>
      </c>
      <c r="T72" s="35"/>
      <c r="U72" s="35"/>
      <c r="V72" s="35"/>
      <c r="W72" s="35">
        <v>985.63363881427779</v>
      </c>
      <c r="X72" s="35"/>
      <c r="Y72" s="35">
        <v>18.901600007964603</v>
      </c>
      <c r="Z72" s="35"/>
      <c r="AA72" s="35"/>
      <c r="AB72" s="35"/>
      <c r="AC72" s="35"/>
      <c r="AD72" s="35">
        <v>0.49836807005081596</v>
      </c>
      <c r="AE72" s="35">
        <v>109.10050590892386</v>
      </c>
      <c r="AF72" s="35">
        <v>37.833084441596199</v>
      </c>
      <c r="AG72" s="35">
        <v>136.0748104760799</v>
      </c>
      <c r="AH72" s="35">
        <v>1373.1450568768669</v>
      </c>
      <c r="AI72" s="35">
        <v>13.230760351409362</v>
      </c>
      <c r="AJ72" s="35">
        <v>55.21820857142945</v>
      </c>
      <c r="AK72" s="35">
        <v>162.85523052421527</v>
      </c>
      <c r="AL72" s="35">
        <v>40.78416175889997</v>
      </c>
      <c r="AM72" s="35"/>
      <c r="AN72" s="35">
        <v>2565.6785993535796</v>
      </c>
      <c r="AO72" s="35">
        <v>1535.4276412308732</v>
      </c>
      <c r="AP72" s="35">
        <v>102.72844868665732</v>
      </c>
      <c r="AQ72" s="35">
        <v>12.061194049067229</v>
      </c>
      <c r="AR72" s="35">
        <v>157.87098669833759</v>
      </c>
      <c r="AS72" s="35">
        <v>139.65054672401311</v>
      </c>
      <c r="AT72" s="35">
        <v>164.76659502140421</v>
      </c>
      <c r="AU72" s="35">
        <v>515.5045391525581</v>
      </c>
      <c r="AV72" s="35">
        <v>831.77033527788808</v>
      </c>
      <c r="AW72" s="35">
        <v>6.4807732853890396</v>
      </c>
      <c r="AX72" s="35">
        <v>256.03858488264621</v>
      </c>
      <c r="AY72" s="35">
        <v>1063.2131674829959</v>
      </c>
      <c r="AZ72" s="35">
        <v>2609.3362922258252</v>
      </c>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v>2687.5609544190334</v>
      </c>
      <c r="DM72" s="35">
        <v>3690.4003764959416</v>
      </c>
      <c r="DN72" s="35">
        <v>4661.5372743667667</v>
      </c>
      <c r="DO72" s="35">
        <v>5496.2122013163671</v>
      </c>
      <c r="DP72" s="35">
        <v>5975.2168966409936</v>
      </c>
      <c r="DQ72" s="35">
        <v>6754.9172865966593</v>
      </c>
      <c r="DR72" s="35">
        <v>8298.2489484129565</v>
      </c>
      <c r="DS72" s="35">
        <v>10318.16853559319</v>
      </c>
      <c r="DT72" s="35">
        <v>14249.157498873145</v>
      </c>
      <c r="DU72" s="35">
        <v>3352.9754274612878</v>
      </c>
      <c r="DV72" s="35">
        <v>3271.6765986309174</v>
      </c>
      <c r="DW72" s="35">
        <v>3344.9439232344203</v>
      </c>
      <c r="DX72" s="35">
        <v>5208.8777118393282</v>
      </c>
      <c r="DY72" s="35">
        <v>5540.4055119136519</v>
      </c>
      <c r="DZ72" s="35"/>
      <c r="EA72" s="35"/>
      <c r="EB72" s="35"/>
      <c r="EC72" s="35"/>
      <c r="ED72" s="35"/>
      <c r="EE72" s="35"/>
      <c r="EF72" s="35"/>
      <c r="EG72" s="35"/>
      <c r="EH72" s="35">
        <v>20.860730254039279</v>
      </c>
      <c r="EI72" s="35">
        <v>1.1111884882240612</v>
      </c>
      <c r="EJ72" s="35">
        <v>25.783783007370175</v>
      </c>
      <c r="EK72" s="35">
        <v>5675.8936556490207</v>
      </c>
      <c r="EL72" s="35">
        <v>109403.70373058438</v>
      </c>
    </row>
    <row r="73" spans="1:142" x14ac:dyDescent="0.25">
      <c r="A73" s="33" t="s">
        <v>292</v>
      </c>
      <c r="B73" s="35"/>
      <c r="C73" s="35"/>
      <c r="D73" s="35"/>
      <c r="E73" s="35">
        <v>79.300555747855526</v>
      </c>
      <c r="F73" s="35">
        <v>17.135111156596562</v>
      </c>
      <c r="G73" s="35">
        <v>132.83645930741284</v>
      </c>
      <c r="H73" s="35">
        <v>21.73874429794957</v>
      </c>
      <c r="I73" s="35">
        <v>1.4345425409810757</v>
      </c>
      <c r="J73" s="35">
        <v>1.7206613225537841</v>
      </c>
      <c r="K73" s="35"/>
      <c r="L73" s="35"/>
      <c r="M73" s="35"/>
      <c r="N73" s="35">
        <v>69.913679674719759</v>
      </c>
      <c r="O73" s="35">
        <v>1101.7257898858188</v>
      </c>
      <c r="P73" s="35">
        <v>339.79497308512498</v>
      </c>
      <c r="Q73" s="35">
        <v>1963.1504637803814</v>
      </c>
      <c r="R73" s="35"/>
      <c r="S73" s="35">
        <v>60.4691494329292</v>
      </c>
      <c r="T73" s="35">
        <v>2.2357282240877385</v>
      </c>
      <c r="U73" s="35"/>
      <c r="V73" s="35"/>
      <c r="W73" s="35"/>
      <c r="X73" s="35"/>
      <c r="Y73" s="35">
        <v>22.490735579301305</v>
      </c>
      <c r="Z73" s="35"/>
      <c r="AA73" s="35"/>
      <c r="AB73" s="35"/>
      <c r="AC73" s="35"/>
      <c r="AD73" s="35"/>
      <c r="AE73" s="35"/>
      <c r="AF73" s="35"/>
      <c r="AG73" s="35"/>
      <c r="AH73" s="35">
        <v>4579.8732370946445</v>
      </c>
      <c r="AI73" s="35"/>
      <c r="AJ73" s="35">
        <v>541.80849889099875</v>
      </c>
      <c r="AK73" s="35">
        <v>43.133963762023185</v>
      </c>
      <c r="AL73" s="35"/>
      <c r="AM73" s="35"/>
      <c r="AN73" s="35"/>
      <c r="AO73" s="35"/>
      <c r="AP73" s="35"/>
      <c r="AQ73" s="35"/>
      <c r="AR73" s="35"/>
      <c r="AS73" s="35"/>
      <c r="AT73" s="35"/>
      <c r="AU73" s="35"/>
      <c r="AV73" s="35"/>
      <c r="AW73" s="35"/>
      <c r="AX73" s="35">
        <v>5.1444673309063306E-2</v>
      </c>
      <c r="AY73" s="35">
        <v>94.511124731933691</v>
      </c>
      <c r="AZ73" s="35">
        <v>324.13375320071145</v>
      </c>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v>87.354930661208499</v>
      </c>
      <c r="DM73" s="35">
        <v>131.86302695391834</v>
      </c>
      <c r="DN73" s="35">
        <v>147.76746795077736</v>
      </c>
      <c r="DO73" s="35">
        <v>196.69427882193628</v>
      </c>
      <c r="DP73" s="35">
        <v>223.27030440975722</v>
      </c>
      <c r="DQ73" s="35">
        <v>262.17994616919106</v>
      </c>
      <c r="DR73" s="35">
        <v>293.58115548348837</v>
      </c>
      <c r="DS73" s="35">
        <v>478.51548005208144</v>
      </c>
      <c r="DT73" s="35">
        <v>658.78520367383976</v>
      </c>
      <c r="DU73" s="35">
        <v>147.8947668622238</v>
      </c>
      <c r="DV73" s="35">
        <v>265.81057405437434</v>
      </c>
      <c r="DW73" s="35">
        <v>209.32198298288941</v>
      </c>
      <c r="DX73" s="35">
        <v>299.97492544404309</v>
      </c>
      <c r="DY73" s="35">
        <v>356.94617033261767</v>
      </c>
      <c r="DZ73" s="35"/>
      <c r="EA73" s="35"/>
      <c r="EB73" s="35"/>
      <c r="EC73" s="35"/>
      <c r="ED73" s="35"/>
      <c r="EE73" s="35"/>
      <c r="EF73" s="35"/>
      <c r="EG73" s="35"/>
      <c r="EH73" s="35">
        <v>2.5813131584053298E-2</v>
      </c>
      <c r="EI73" s="35">
        <v>1.3749880426961081E-3</v>
      </c>
      <c r="EJ73" s="35">
        <v>-228.69500610272752</v>
      </c>
      <c r="EK73" s="35">
        <v>1345.0070642363012</v>
      </c>
      <c r="EL73" s="35">
        <v>14273.758076494882</v>
      </c>
    </row>
    <row r="74" spans="1:142" x14ac:dyDescent="0.25">
      <c r="A74" s="33" t="s">
        <v>291</v>
      </c>
      <c r="B74" s="35"/>
      <c r="C74" s="35"/>
      <c r="D74" s="35"/>
      <c r="E74" s="35">
        <v>62.709991699629597</v>
      </c>
      <c r="F74" s="35">
        <v>115.83218322780114</v>
      </c>
      <c r="G74" s="35">
        <v>810.65288393840626</v>
      </c>
      <c r="H74" s="35">
        <v>146.13121874330562</v>
      </c>
      <c r="I74" s="35">
        <v>9.6432179788993491</v>
      </c>
      <c r="J74" s="35">
        <v>11.56655290954266</v>
      </c>
      <c r="K74" s="35"/>
      <c r="L74" s="35"/>
      <c r="M74" s="35"/>
      <c r="N74" s="35"/>
      <c r="O74" s="35">
        <v>37.220964188166462</v>
      </c>
      <c r="P74" s="35">
        <v>64.986856199034477</v>
      </c>
      <c r="Q74" s="35">
        <v>1167.2682116934116</v>
      </c>
      <c r="R74" s="35"/>
      <c r="S74" s="35"/>
      <c r="T74" s="35"/>
      <c r="U74" s="35"/>
      <c r="V74" s="35"/>
      <c r="W74" s="35"/>
      <c r="X74" s="35"/>
      <c r="Y74" s="35"/>
      <c r="Z74" s="35"/>
      <c r="AA74" s="35"/>
      <c r="AB74" s="35"/>
      <c r="AC74" s="35"/>
      <c r="AD74" s="35"/>
      <c r="AE74" s="35"/>
      <c r="AF74" s="35"/>
      <c r="AG74" s="35"/>
      <c r="AH74" s="35"/>
      <c r="AI74" s="35"/>
      <c r="AJ74" s="35"/>
      <c r="AK74" s="35">
        <v>0.3052282158288589</v>
      </c>
      <c r="AL74" s="35"/>
      <c r="AM74" s="35">
        <v>19.923925830884649</v>
      </c>
      <c r="AN74" s="35">
        <v>697.6703904594674</v>
      </c>
      <c r="AO74" s="35">
        <v>286.37455365090472</v>
      </c>
      <c r="AP74" s="35"/>
      <c r="AQ74" s="35"/>
      <c r="AR74" s="35"/>
      <c r="AS74" s="35"/>
      <c r="AT74" s="35"/>
      <c r="AU74" s="35"/>
      <c r="AV74" s="35"/>
      <c r="AW74" s="35"/>
      <c r="AX74" s="35">
        <v>0.34169914371686999</v>
      </c>
      <c r="AY74" s="35">
        <v>468.11363923113919</v>
      </c>
      <c r="AZ74" s="35">
        <v>924.73703025358805</v>
      </c>
      <c r="BA74" s="35"/>
      <c r="BB74" s="35"/>
      <c r="BC74" s="35"/>
      <c r="BD74" s="35"/>
      <c r="BE74" s="35"/>
      <c r="BF74" s="35"/>
      <c r="BG74" s="35"/>
      <c r="BH74" s="35"/>
      <c r="BI74" s="35"/>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v>599.72852371399813</v>
      </c>
      <c r="DM74" s="35">
        <v>848.82749469172575</v>
      </c>
      <c r="DN74" s="35">
        <v>1076.5617005846277</v>
      </c>
      <c r="DO74" s="35">
        <v>1356.8499539912766</v>
      </c>
      <c r="DP74" s="35">
        <v>1484.2537055397531</v>
      </c>
      <c r="DQ74" s="35">
        <v>1719.9506459044349</v>
      </c>
      <c r="DR74" s="35">
        <v>2213.6401831547819</v>
      </c>
      <c r="DS74" s="35">
        <v>2611.7769067437716</v>
      </c>
      <c r="DT74" s="35">
        <v>3328.4230092039525</v>
      </c>
      <c r="DU74" s="35">
        <v>867.93805742399718</v>
      </c>
      <c r="DV74" s="35">
        <v>761.237415502148</v>
      </c>
      <c r="DW74" s="35">
        <v>823.34674438203035</v>
      </c>
      <c r="DX74" s="35">
        <v>1035.1554813313728</v>
      </c>
      <c r="DY74" s="35">
        <v>953.93558971921902</v>
      </c>
      <c r="DZ74" s="35"/>
      <c r="EA74" s="35"/>
      <c r="EB74" s="35"/>
      <c r="EC74" s="35"/>
      <c r="ED74" s="35"/>
      <c r="EE74" s="35"/>
      <c r="EF74" s="35"/>
      <c r="EG74" s="35"/>
      <c r="EH74" s="35"/>
      <c r="EI74" s="35"/>
      <c r="EJ74" s="35">
        <v>186.56853628431335</v>
      </c>
      <c r="EK74" s="35">
        <v>946.75447296642722</v>
      </c>
      <c r="EL74" s="35">
        <v>25638.426968501561</v>
      </c>
    </row>
    <row r="75" spans="1:142" x14ac:dyDescent="0.25">
      <c r="A75" s="33" t="s">
        <v>290</v>
      </c>
      <c r="B75" s="35">
        <v>1001.0612981684277</v>
      </c>
      <c r="C75" s="35">
        <v>74.704728065745087</v>
      </c>
      <c r="D75" s="35">
        <v>3.7910200967727521</v>
      </c>
      <c r="E75" s="35">
        <v>127.50793310914717</v>
      </c>
      <c r="F75" s="35">
        <v>131.83310646223114</v>
      </c>
      <c r="G75" s="35">
        <v>975.49229274799086</v>
      </c>
      <c r="H75" s="35">
        <v>790.44914407445151</v>
      </c>
      <c r="I75" s="35">
        <v>52.161841002188631</v>
      </c>
      <c r="J75" s="35">
        <v>62.565493710827567</v>
      </c>
      <c r="K75" s="35">
        <v>8.7913366865625189E-3</v>
      </c>
      <c r="L75" s="35">
        <v>4112.4741299166435</v>
      </c>
      <c r="M75" s="35">
        <v>2845.9746988939805</v>
      </c>
      <c r="N75" s="35">
        <v>191.62659787632043</v>
      </c>
      <c r="O75" s="35">
        <v>76.269372390112338</v>
      </c>
      <c r="P75" s="35">
        <v>9.0407987995339845</v>
      </c>
      <c r="Q75" s="35">
        <v>61.251635914154626</v>
      </c>
      <c r="R75" s="35">
        <v>9836.5877939841157</v>
      </c>
      <c r="S75" s="35">
        <v>1893.6430148487609</v>
      </c>
      <c r="T75" s="35">
        <v>94.82476762447159</v>
      </c>
      <c r="U75" s="35">
        <v>909.50069620561931</v>
      </c>
      <c r="V75" s="35">
        <v>1053.1834942102159</v>
      </c>
      <c r="W75" s="35">
        <v>2434.714933483589</v>
      </c>
      <c r="X75" s="35">
        <v>16.486809111019319</v>
      </c>
      <c r="Y75" s="35">
        <v>96.6414833940443</v>
      </c>
      <c r="Z75" s="35">
        <v>92.341955672474782</v>
      </c>
      <c r="AA75" s="35">
        <v>656.52253361419582</v>
      </c>
      <c r="AB75" s="35">
        <v>404.80624693924261</v>
      </c>
      <c r="AC75" s="35">
        <v>55.923625014340629</v>
      </c>
      <c r="AD75" s="35">
        <v>657.5263646165256</v>
      </c>
      <c r="AE75" s="35">
        <v>239.53317204334533</v>
      </c>
      <c r="AF75" s="35">
        <v>81.850908028392041</v>
      </c>
      <c r="AG75" s="35">
        <v>123.66527191772326</v>
      </c>
      <c r="AH75" s="35">
        <v>1217.849963992385</v>
      </c>
      <c r="AI75" s="35">
        <v>171.82093227504939</v>
      </c>
      <c r="AJ75" s="35">
        <v>5395.6663734465747</v>
      </c>
      <c r="AK75" s="35">
        <v>434.73248426303132</v>
      </c>
      <c r="AL75" s="35">
        <v>313.78893879776825</v>
      </c>
      <c r="AM75" s="35">
        <v>52.794933125363563</v>
      </c>
      <c r="AN75" s="35">
        <v>4748.9946457084807</v>
      </c>
      <c r="AO75" s="35">
        <v>2991.5143043607904</v>
      </c>
      <c r="AP75" s="35">
        <v>91.651978490990317</v>
      </c>
      <c r="AQ75" s="35">
        <v>13.620851977616049</v>
      </c>
      <c r="AR75" s="35">
        <v>180.11342649446789</v>
      </c>
      <c r="AS75" s="35">
        <v>251.41638297185105</v>
      </c>
      <c r="AT75" s="35">
        <v>313.14289131329559</v>
      </c>
      <c r="AU75" s="35">
        <v>979.72882096877549</v>
      </c>
      <c r="AV75" s="35">
        <v>1226.7727405233998</v>
      </c>
      <c r="AW75" s="35"/>
      <c r="AX75" s="35">
        <v>1085.4628789765404</v>
      </c>
      <c r="AY75" s="35">
        <v>1021.843019907178</v>
      </c>
      <c r="AZ75" s="35">
        <v>3392.1173074809562</v>
      </c>
      <c r="BA75" s="35"/>
      <c r="BB75" s="35"/>
      <c r="BC75" s="35"/>
      <c r="BD75" s="35"/>
      <c r="BE75" s="35"/>
      <c r="BF75" s="35"/>
      <c r="BG75" s="35"/>
      <c r="BH75" s="35"/>
      <c r="BI75" s="3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v>57.110105073342396</v>
      </c>
      <c r="DM75" s="35">
        <v>57.626980140088584</v>
      </c>
      <c r="DN75" s="35">
        <v>68.597700256125094</v>
      </c>
      <c r="DO75" s="35">
        <v>60.211940554062913</v>
      </c>
      <c r="DP75" s="35">
        <v>57.922107404101865</v>
      </c>
      <c r="DQ75" s="35">
        <v>81.041412774969146</v>
      </c>
      <c r="DR75" s="35">
        <v>69.02537658269398</v>
      </c>
      <c r="DS75" s="35">
        <v>129.91217343128201</v>
      </c>
      <c r="DT75" s="35">
        <v>251.6069874781293</v>
      </c>
      <c r="DU75" s="35">
        <v>78.289593332384229</v>
      </c>
      <c r="DV75" s="35">
        <v>76.905271962037119</v>
      </c>
      <c r="DW75" s="35">
        <v>71.070892414714464</v>
      </c>
      <c r="DX75" s="35">
        <v>154.05121569606573</v>
      </c>
      <c r="DY75" s="35">
        <v>202.30582530024313</v>
      </c>
      <c r="DZ75" s="35"/>
      <c r="EA75" s="35"/>
      <c r="EB75" s="35"/>
      <c r="EC75" s="35"/>
      <c r="ED75" s="35"/>
      <c r="EE75" s="35"/>
      <c r="EF75" s="35"/>
      <c r="EG75" s="35"/>
      <c r="EH75" s="35"/>
      <c r="EI75" s="35"/>
      <c r="EJ75" s="35">
        <v>278.42550590120192</v>
      </c>
      <c r="EK75" s="35">
        <v>5029.9800896295146</v>
      </c>
      <c r="EL75" s="35">
        <v>59771.082006278768</v>
      </c>
    </row>
    <row r="76" spans="1:142" x14ac:dyDescent="0.25">
      <c r="A76" s="33" t="s">
        <v>289</v>
      </c>
      <c r="B76" s="35">
        <v>61.558138209613332</v>
      </c>
      <c r="C76" s="35">
        <v>27.67087098122952</v>
      </c>
      <c r="D76" s="35">
        <v>6.3189018678204798</v>
      </c>
      <c r="E76" s="35">
        <v>36.946343597636186</v>
      </c>
      <c r="F76" s="35">
        <v>29.082420698480046</v>
      </c>
      <c r="G76" s="35">
        <v>236.46549716399957</v>
      </c>
      <c r="H76" s="35">
        <v>59.371497252992661</v>
      </c>
      <c r="I76" s="35">
        <v>3.9179327639081936</v>
      </c>
      <c r="J76" s="35">
        <v>4.6993624647845191</v>
      </c>
      <c r="K76" s="35">
        <v>2.168155534024501E-3</v>
      </c>
      <c r="L76" s="35">
        <v>3625.633240039193</v>
      </c>
      <c r="M76" s="35">
        <v>2467.63907124445</v>
      </c>
      <c r="N76" s="35">
        <v>239.60345709751095</v>
      </c>
      <c r="O76" s="35">
        <v>139.22417554012554</v>
      </c>
      <c r="P76" s="35">
        <v>13.901244555444688</v>
      </c>
      <c r="Q76" s="35">
        <v>104.50849817261798</v>
      </c>
      <c r="R76" s="35">
        <v>401.27228079951186</v>
      </c>
      <c r="S76" s="35">
        <v>21194.273608523588</v>
      </c>
      <c r="T76" s="35">
        <v>12336.244065989971</v>
      </c>
      <c r="U76" s="35">
        <v>161.76364688716203</v>
      </c>
      <c r="V76" s="35">
        <v>259.74043569567726</v>
      </c>
      <c r="W76" s="35">
        <v>3332.8266588153574</v>
      </c>
      <c r="X76" s="35">
        <v>19.017197442361997</v>
      </c>
      <c r="Y76" s="35">
        <v>5126.7800328746598</v>
      </c>
      <c r="Z76" s="35">
        <v>42.56318201311089</v>
      </c>
      <c r="AA76" s="35">
        <v>408.65795692274048</v>
      </c>
      <c r="AB76" s="35">
        <v>112.75031725512756</v>
      </c>
      <c r="AC76" s="35">
        <v>93.566326068805211</v>
      </c>
      <c r="AD76" s="35">
        <v>135.36472677543023</v>
      </c>
      <c r="AE76" s="35">
        <v>226.87822649637727</v>
      </c>
      <c r="AF76" s="35">
        <v>141.5573555680086</v>
      </c>
      <c r="AG76" s="35">
        <v>81.849726550251688</v>
      </c>
      <c r="AH76" s="35">
        <v>945.64599542766325</v>
      </c>
      <c r="AI76" s="35">
        <v>5.5058513110178398</v>
      </c>
      <c r="AJ76" s="35">
        <v>163.98935096683792</v>
      </c>
      <c r="AK76" s="35">
        <v>784.82236237248878</v>
      </c>
      <c r="AL76" s="35">
        <v>102.00212127666117</v>
      </c>
      <c r="AM76" s="35">
        <v>9.7428782356393793</v>
      </c>
      <c r="AN76" s="35">
        <v>562.83802361350683</v>
      </c>
      <c r="AO76" s="35">
        <v>19698.212401112978</v>
      </c>
      <c r="AP76" s="35">
        <v>64.504802665418325</v>
      </c>
      <c r="AQ76" s="35">
        <v>19.048696868167472</v>
      </c>
      <c r="AR76" s="35">
        <v>264.08434598710789</v>
      </c>
      <c r="AS76" s="35">
        <v>281.44446512932814</v>
      </c>
      <c r="AT76" s="35">
        <v>340.49235681638635</v>
      </c>
      <c r="AU76" s="35">
        <v>1065.2969763852789</v>
      </c>
      <c r="AV76" s="35">
        <v>1448.9316602641793</v>
      </c>
      <c r="AW76" s="35">
        <v>215.28889979642324</v>
      </c>
      <c r="AX76" s="35">
        <v>11850.751164624991</v>
      </c>
      <c r="AY76" s="35">
        <v>1394.8881624630642</v>
      </c>
      <c r="AZ76" s="35">
        <v>3808.2006751255958</v>
      </c>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v>258.87771935422467</v>
      </c>
      <c r="DM76" s="35">
        <v>407.54163456609888</v>
      </c>
      <c r="DN76" s="35">
        <v>543.88922959270838</v>
      </c>
      <c r="DO76" s="35">
        <v>743.32671189206633</v>
      </c>
      <c r="DP76" s="35">
        <v>754.50947223302785</v>
      </c>
      <c r="DQ76" s="35">
        <v>825.4025725424051</v>
      </c>
      <c r="DR76" s="35">
        <v>1062.0312313922325</v>
      </c>
      <c r="DS76" s="35">
        <v>1435.553344708022</v>
      </c>
      <c r="DT76" s="35">
        <v>2113.222857650228</v>
      </c>
      <c r="DU76" s="35">
        <v>584.41834540226739</v>
      </c>
      <c r="DV76" s="35">
        <v>448.99000231873566</v>
      </c>
      <c r="DW76" s="35">
        <v>475.16161099882407</v>
      </c>
      <c r="DX76" s="35">
        <v>748.24537572800273</v>
      </c>
      <c r="DY76" s="35">
        <v>670.71307126907845</v>
      </c>
      <c r="DZ76" s="35"/>
      <c r="EA76" s="35"/>
      <c r="EB76" s="35"/>
      <c r="EC76" s="35"/>
      <c r="ED76" s="35"/>
      <c r="EE76" s="35"/>
      <c r="EF76" s="35"/>
      <c r="EG76" s="35"/>
      <c r="EH76" s="35"/>
      <c r="EI76" s="35"/>
      <c r="EJ76" s="35">
        <v>-161.08407922607557</v>
      </c>
      <c r="EK76" s="35">
        <v>11741.859540664365</v>
      </c>
      <c r="EL76" s="35">
        <v>116809.99839601238</v>
      </c>
    </row>
    <row r="77" spans="1:142" x14ac:dyDescent="0.25">
      <c r="A77" s="33" t="s">
        <v>288</v>
      </c>
      <c r="B77" s="35">
        <v>14.066506878074524</v>
      </c>
      <c r="C77" s="35">
        <v>6.3230008182951289</v>
      </c>
      <c r="D77" s="35">
        <v>2.2460888608837375</v>
      </c>
      <c r="E77" s="35">
        <v>6.1536264701500665</v>
      </c>
      <c r="F77" s="35">
        <v>4.5944133584144931</v>
      </c>
      <c r="G77" s="35">
        <v>31.696895552894532</v>
      </c>
      <c r="H77" s="35">
        <v>5.4124895164124291</v>
      </c>
      <c r="I77" s="35">
        <v>0.35717088151407494</v>
      </c>
      <c r="J77" s="35">
        <v>0.42840843251912769</v>
      </c>
      <c r="K77" s="35">
        <v>9.8792256045284393E-5</v>
      </c>
      <c r="L77" s="35">
        <v>95.085456535871629</v>
      </c>
      <c r="M77" s="35">
        <v>8.0494347539012967</v>
      </c>
      <c r="N77" s="35">
        <v>27.856776680891603</v>
      </c>
      <c r="O77" s="35">
        <v>8.5532420054834564</v>
      </c>
      <c r="P77" s="35">
        <v>0.91544695532777576</v>
      </c>
      <c r="Q77" s="35">
        <v>5.4928835510563134</v>
      </c>
      <c r="R77" s="35">
        <v>13.737402366707999</v>
      </c>
      <c r="S77" s="35">
        <v>1309.00573197325</v>
      </c>
      <c r="T77" s="35">
        <v>2836.5419207123564</v>
      </c>
      <c r="U77" s="35">
        <v>13.175085883006352</v>
      </c>
      <c r="V77" s="35">
        <v>11.835102798612743</v>
      </c>
      <c r="W77" s="35">
        <v>133.3304902208609</v>
      </c>
      <c r="X77" s="35">
        <v>5.8383987546173381</v>
      </c>
      <c r="Y77" s="35">
        <v>36.645393636117852</v>
      </c>
      <c r="Z77" s="35">
        <v>2.242978541626897</v>
      </c>
      <c r="AA77" s="35">
        <v>9.178684003249133</v>
      </c>
      <c r="AB77" s="35">
        <v>16.110485992081465</v>
      </c>
      <c r="AC77" s="35">
        <v>5.3289600961569308</v>
      </c>
      <c r="AD77" s="35">
        <v>24.449905651860345</v>
      </c>
      <c r="AE77" s="35">
        <v>37.291698418022172</v>
      </c>
      <c r="AF77" s="35">
        <v>17.305838842843556</v>
      </c>
      <c r="AG77" s="35">
        <v>1891.2989719572008</v>
      </c>
      <c r="AH77" s="35">
        <v>42.528632274293521</v>
      </c>
      <c r="AI77" s="35">
        <v>2.3929510820094486</v>
      </c>
      <c r="AJ77" s="35">
        <v>8.0646334418305621</v>
      </c>
      <c r="AK77" s="35">
        <v>211.98279764880772</v>
      </c>
      <c r="AL77" s="35">
        <v>82.861549066362684</v>
      </c>
      <c r="AM77" s="35">
        <v>6.9263214911109925</v>
      </c>
      <c r="AN77" s="35">
        <v>120.10543576568452</v>
      </c>
      <c r="AO77" s="35">
        <v>20913.563072735295</v>
      </c>
      <c r="AP77" s="35">
        <v>172.65433716421236</v>
      </c>
      <c r="AQ77" s="35">
        <v>5.2194907351542765</v>
      </c>
      <c r="AR77" s="35">
        <v>76.000463183401251</v>
      </c>
      <c r="AS77" s="35">
        <v>84.133701620563869</v>
      </c>
      <c r="AT77" s="35">
        <v>84.066951807319271</v>
      </c>
      <c r="AU77" s="35">
        <v>263.0199115528406</v>
      </c>
      <c r="AV77" s="35">
        <v>479.06865098756987</v>
      </c>
      <c r="AW77" s="35">
        <v>648.09720589721189</v>
      </c>
      <c r="AX77" s="35">
        <v>19052.441818924788</v>
      </c>
      <c r="AY77" s="35">
        <v>2306.4641696243652</v>
      </c>
      <c r="AZ77" s="35">
        <v>5832.7802929760901</v>
      </c>
      <c r="BA77" s="35"/>
      <c r="BB77" s="35"/>
      <c r="BC77" s="35"/>
      <c r="BD77" s="35"/>
      <c r="BE77" s="35"/>
      <c r="BF77" s="35"/>
      <c r="BG77" s="35"/>
      <c r="BH77" s="35"/>
      <c r="BI77" s="35"/>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v>66.872321892403562</v>
      </c>
      <c r="DM77" s="35">
        <v>159.31108403520369</v>
      </c>
      <c r="DN77" s="35">
        <v>182.25525898280094</v>
      </c>
      <c r="DO77" s="35">
        <v>262.52098640292019</v>
      </c>
      <c r="DP77" s="35">
        <v>315.35116492959537</v>
      </c>
      <c r="DQ77" s="35">
        <v>578.00404924901704</v>
      </c>
      <c r="DR77" s="35">
        <v>1029.9771403911056</v>
      </c>
      <c r="DS77" s="35">
        <v>1594.9435043187159</v>
      </c>
      <c r="DT77" s="35">
        <v>2824.8318196380528</v>
      </c>
      <c r="DU77" s="35">
        <v>658.40310873102317</v>
      </c>
      <c r="DV77" s="35">
        <v>771.39638151654526</v>
      </c>
      <c r="DW77" s="35">
        <v>693.17026958810675</v>
      </c>
      <c r="DX77" s="35">
        <v>1060.398406141054</v>
      </c>
      <c r="DY77" s="35">
        <v>1421.1077000332975</v>
      </c>
      <c r="DZ77" s="35"/>
      <c r="EA77" s="35"/>
      <c r="EB77" s="35"/>
      <c r="EC77" s="35"/>
      <c r="ED77" s="35"/>
      <c r="EE77" s="35"/>
      <c r="EF77" s="35"/>
      <c r="EG77" s="35"/>
      <c r="EH77" s="35">
        <v>1.0857660613639877</v>
      </c>
      <c r="EI77" s="35">
        <v>5.7835499217887117E-2</v>
      </c>
      <c r="EJ77" s="35">
        <v>1005.2245982828197</v>
      </c>
      <c r="EK77" s="35">
        <v>1175.3951959377221</v>
      </c>
      <c r="EL77" s="35">
        <v>70773.22796950239</v>
      </c>
    </row>
    <row r="78" spans="1:142" x14ac:dyDescent="0.25">
      <c r="A78" s="33" t="s">
        <v>287</v>
      </c>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v>23072.835574879213</v>
      </c>
      <c r="AU78" s="35">
        <v>43355.10343832885</v>
      </c>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v>255.25799449603869</v>
      </c>
      <c r="DM78" s="35">
        <v>399.88643055811383</v>
      </c>
      <c r="DN78" s="35">
        <v>618.5228117216468</v>
      </c>
      <c r="DO78" s="35">
        <v>739.88847822468836</v>
      </c>
      <c r="DP78" s="35">
        <v>1293.3483635108726</v>
      </c>
      <c r="DQ78" s="35">
        <v>2651.6871128164566</v>
      </c>
      <c r="DR78" s="35">
        <v>4092.109742000705</v>
      </c>
      <c r="DS78" s="35">
        <v>6989.323439337204</v>
      </c>
      <c r="DT78" s="35">
        <v>17519.76559275408</v>
      </c>
      <c r="DU78" s="35">
        <v>5065.1203495883092</v>
      </c>
      <c r="DV78" s="35">
        <v>4718.1942982466444</v>
      </c>
      <c r="DW78" s="35">
        <v>5602.8557291678899</v>
      </c>
      <c r="DX78" s="35">
        <v>7597.6805243824647</v>
      </c>
      <c r="DY78" s="35">
        <v>7250.7544730407981</v>
      </c>
      <c r="DZ78" s="35"/>
      <c r="EA78" s="35"/>
      <c r="EB78" s="35"/>
      <c r="EC78" s="35"/>
      <c r="ED78" s="35"/>
      <c r="EE78" s="35"/>
      <c r="EF78" s="35"/>
      <c r="EG78" s="35"/>
      <c r="EH78" s="35"/>
      <c r="EI78" s="35"/>
      <c r="EJ78" s="35"/>
      <c r="EK78" s="35">
        <v>9249.4803104154216</v>
      </c>
      <c r="EL78" s="35">
        <v>140471.81466346935</v>
      </c>
    </row>
    <row r="79" spans="1:142" x14ac:dyDescent="0.25">
      <c r="A79" s="33" t="s">
        <v>286</v>
      </c>
      <c r="B79" s="35">
        <v>7150.9024285738687</v>
      </c>
      <c r="C79" s="35">
        <v>757.36143798344392</v>
      </c>
      <c r="D79" s="35">
        <v>82.082047693727915</v>
      </c>
      <c r="E79" s="35">
        <v>1384.0852067580481</v>
      </c>
      <c r="F79" s="35">
        <v>1085.763989358981</v>
      </c>
      <c r="G79" s="35">
        <v>7639.7946068386882</v>
      </c>
      <c r="H79" s="35">
        <v>1171.5972304592171</v>
      </c>
      <c r="I79" s="35">
        <v>77.313852398911692</v>
      </c>
      <c r="J79" s="35">
        <v>92.734061012551294</v>
      </c>
      <c r="K79" s="35"/>
      <c r="L79" s="35"/>
      <c r="M79" s="35"/>
      <c r="N79" s="35"/>
      <c r="O79" s="35"/>
      <c r="P79" s="35"/>
      <c r="Q79" s="35"/>
      <c r="R79" s="35"/>
      <c r="S79" s="35">
        <v>38.633630796150605</v>
      </c>
      <c r="T79" s="35"/>
      <c r="U79" s="35"/>
      <c r="V79" s="35"/>
      <c r="W79" s="35"/>
      <c r="X79" s="35"/>
      <c r="Y79" s="35"/>
      <c r="Z79" s="35"/>
      <c r="AA79" s="35"/>
      <c r="AB79" s="35"/>
      <c r="AC79" s="35"/>
      <c r="AD79" s="35"/>
      <c r="AE79" s="35"/>
      <c r="AF79" s="35"/>
      <c r="AG79" s="35"/>
      <c r="AH79" s="35"/>
      <c r="AI79" s="35"/>
      <c r="AJ79" s="35"/>
      <c r="AK79" s="35"/>
      <c r="AL79" s="35">
        <v>3253.9456350439482</v>
      </c>
      <c r="AM79" s="35"/>
      <c r="AN79" s="35">
        <v>2725.2600725092611</v>
      </c>
      <c r="AO79" s="35">
        <v>46.904411366994033</v>
      </c>
      <c r="AP79" s="35">
        <v>0.71570566305041294</v>
      </c>
      <c r="AQ79" s="35"/>
      <c r="AR79" s="35"/>
      <c r="AS79" s="35"/>
      <c r="AT79" s="35">
        <v>24643.852671205921</v>
      </c>
      <c r="AU79" s="35">
        <v>91471.782675604278</v>
      </c>
      <c r="AV79" s="35">
        <v>105.47943522803716</v>
      </c>
      <c r="AW79" s="35">
        <v>1.7449429611731155</v>
      </c>
      <c r="AX79" s="35">
        <v>64.357590868036624</v>
      </c>
      <c r="AY79" s="35">
        <v>19.090650757095887</v>
      </c>
      <c r="AZ79" s="35">
        <v>26.474309346376454</v>
      </c>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v>35.936835783282092</v>
      </c>
      <c r="DM79" s="35">
        <v>56.2985422466476</v>
      </c>
      <c r="DN79" s="35">
        <v>87.079555556876684</v>
      </c>
      <c r="DO79" s="35">
        <v>104.16618211076538</v>
      </c>
      <c r="DP79" s="35">
        <v>182.08576715425133</v>
      </c>
      <c r="DQ79" s="35">
        <v>373.32129209143835</v>
      </c>
      <c r="DR79" s="35">
        <v>576.11310507938026</v>
      </c>
      <c r="DS79" s="35">
        <v>984.00118347558134</v>
      </c>
      <c r="DT79" s="35">
        <v>2466.5434683502926</v>
      </c>
      <c r="DU79" s="35">
        <v>713.0996958002828</v>
      </c>
      <c r="DV79" s="35">
        <v>664.25725088245531</v>
      </c>
      <c r="DW79" s="35">
        <v>788.80548542291535</v>
      </c>
      <c r="DX79" s="35">
        <v>1069.6495437004244</v>
      </c>
      <c r="DY79" s="35">
        <v>1020.8070987825967</v>
      </c>
      <c r="DZ79" s="35"/>
      <c r="EA79" s="35"/>
      <c r="EB79" s="35"/>
      <c r="EC79" s="35"/>
      <c r="ED79" s="35"/>
      <c r="EE79" s="35"/>
      <c r="EF79" s="35"/>
      <c r="EG79" s="35"/>
      <c r="EH79" s="35">
        <v>234.18201618696301</v>
      </c>
      <c r="EI79" s="35">
        <v>12.47417311700617</v>
      </c>
      <c r="EJ79" s="35"/>
      <c r="EK79" s="35">
        <v>6932.415272635807</v>
      </c>
      <c r="EL79" s="35">
        <v>158141.11306080475</v>
      </c>
    </row>
    <row r="80" spans="1:142" x14ac:dyDescent="0.25">
      <c r="A80" s="33" t="s">
        <v>285</v>
      </c>
      <c r="B80" s="35">
        <v>401.24121656648191</v>
      </c>
      <c r="C80" s="35">
        <v>42.495982540992664</v>
      </c>
      <c r="D80" s="35">
        <v>4.6056705435243472</v>
      </c>
      <c r="E80" s="35"/>
      <c r="F80" s="35"/>
      <c r="G80" s="35"/>
      <c r="H80" s="35"/>
      <c r="I80" s="35"/>
      <c r="J80" s="35"/>
      <c r="K80" s="35"/>
      <c r="L80" s="35">
        <v>157.48160443643067</v>
      </c>
      <c r="M80" s="35"/>
      <c r="N80" s="35"/>
      <c r="O80" s="35"/>
      <c r="P80" s="35"/>
      <c r="Q80" s="35"/>
      <c r="R80" s="35"/>
      <c r="S80" s="35"/>
      <c r="T80" s="35"/>
      <c r="U80" s="35"/>
      <c r="V80" s="35"/>
      <c r="W80" s="35"/>
      <c r="X80" s="35"/>
      <c r="Y80" s="35"/>
      <c r="Z80" s="35"/>
      <c r="AA80" s="35"/>
      <c r="AB80" s="35">
        <v>263.76234889937763</v>
      </c>
      <c r="AC80" s="35"/>
      <c r="AD80" s="35">
        <v>8.7838366541284921E-2</v>
      </c>
      <c r="AE80" s="35"/>
      <c r="AF80" s="35"/>
      <c r="AG80" s="35"/>
      <c r="AH80" s="35"/>
      <c r="AI80" s="35"/>
      <c r="AJ80" s="35"/>
      <c r="AK80" s="35"/>
      <c r="AL80" s="35"/>
      <c r="AM80" s="35"/>
      <c r="AN80" s="35">
        <v>3090.327544073506</v>
      </c>
      <c r="AO80" s="35">
        <v>246.04024623297406</v>
      </c>
      <c r="AP80" s="35">
        <v>3.7542822185627358</v>
      </c>
      <c r="AQ80" s="35">
        <v>528.39813798432363</v>
      </c>
      <c r="AR80" s="35">
        <v>6915.4578141463753</v>
      </c>
      <c r="AS80" s="35"/>
      <c r="AT80" s="35"/>
      <c r="AU80" s="35"/>
      <c r="AV80" s="35">
        <v>553.29947567114095</v>
      </c>
      <c r="AW80" s="35">
        <v>9.1532157278417277</v>
      </c>
      <c r="AX80" s="35">
        <v>337.59207380812137</v>
      </c>
      <c r="AY80" s="35">
        <v>100.14129324153174</v>
      </c>
      <c r="AZ80" s="35">
        <v>138.87277125097918</v>
      </c>
      <c r="BA80" s="35"/>
      <c r="BB80" s="35"/>
      <c r="BC80" s="35"/>
      <c r="BD80" s="35"/>
      <c r="BE80" s="35"/>
      <c r="BF80" s="35"/>
      <c r="BG80" s="35"/>
      <c r="BH80" s="35"/>
      <c r="BI80" s="35"/>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v>142.96454815919864</v>
      </c>
      <c r="DM80" s="35">
        <v>223.9678446608759</v>
      </c>
      <c r="DN80" s="35">
        <v>346.42140975261248</v>
      </c>
      <c r="DO80" s="35">
        <v>414.39572612183633</v>
      </c>
      <c r="DP80" s="35">
        <v>724.37678109486365</v>
      </c>
      <c r="DQ80" s="35">
        <v>185.52643928235614</v>
      </c>
      <c r="DR80" s="35">
        <v>286.30623346042614</v>
      </c>
      <c r="DS80" s="35">
        <v>489.01104675040784</v>
      </c>
      <c r="DT80" s="35">
        <v>29.98842427929516</v>
      </c>
      <c r="DU80" s="35">
        <v>8.669920682726918</v>
      </c>
      <c r="DV80" s="35">
        <v>8.0760904989785018</v>
      </c>
      <c r="DW80" s="35">
        <v>9.5903574675369683</v>
      </c>
      <c r="DX80" s="35">
        <v>13.004881024090375</v>
      </c>
      <c r="DY80" s="35">
        <v>12.411050840341959</v>
      </c>
      <c r="DZ80" s="35"/>
      <c r="EA80" s="35"/>
      <c r="EB80" s="35"/>
      <c r="EC80" s="35"/>
      <c r="ED80" s="35"/>
      <c r="EE80" s="35"/>
      <c r="EF80" s="35"/>
      <c r="EG80" s="35"/>
      <c r="EH80" s="35">
        <v>265.55232003340478</v>
      </c>
      <c r="EI80" s="35">
        <v>14.145175046553073</v>
      </c>
      <c r="EJ80" s="35"/>
      <c r="EK80" s="35">
        <v>12045.401497645895</v>
      </c>
      <c r="EL80" s="35">
        <v>28012.521262510105</v>
      </c>
    </row>
    <row r="81" spans="1:142" x14ac:dyDescent="0.25">
      <c r="A81" s="33" t="s">
        <v>284</v>
      </c>
      <c r="B81" s="35">
        <v>14340.305681357957</v>
      </c>
      <c r="C81" s="35">
        <v>1520.0946732699558</v>
      </c>
      <c r="D81" s="35">
        <v>159.08483750064056</v>
      </c>
      <c r="E81" s="35">
        <v>250.50338179061006</v>
      </c>
      <c r="F81" s="35">
        <v>371.37901005427631</v>
      </c>
      <c r="G81" s="35">
        <v>2597.4414893387434</v>
      </c>
      <c r="H81" s="35">
        <v>576.23717033451487</v>
      </c>
      <c r="I81" s="35">
        <v>38.0259652171993</v>
      </c>
      <c r="J81" s="35">
        <v>45.610224676406773</v>
      </c>
      <c r="K81" s="35">
        <v>0.40333312522118758</v>
      </c>
      <c r="L81" s="35">
        <v>2384.5939633696712</v>
      </c>
      <c r="M81" s="35">
        <v>2134.4153583605557</v>
      </c>
      <c r="N81" s="35">
        <v>2538.797012959265</v>
      </c>
      <c r="O81" s="35">
        <v>421.60919033733092</v>
      </c>
      <c r="P81" s="35">
        <v>257.4234407613975</v>
      </c>
      <c r="Q81" s="35">
        <v>664.14922768945144</v>
      </c>
      <c r="R81" s="35">
        <v>447.90547621492107</v>
      </c>
      <c r="S81" s="35">
        <v>4549.8327158482862</v>
      </c>
      <c r="T81" s="35">
        <v>228.83051188795403</v>
      </c>
      <c r="U81" s="35">
        <v>11066.671793464173</v>
      </c>
      <c r="V81" s="35">
        <v>48318.453188177307</v>
      </c>
      <c r="W81" s="35">
        <v>29661.681871466466</v>
      </c>
      <c r="X81" s="35">
        <v>5370.4947855462024</v>
      </c>
      <c r="Y81" s="35">
        <v>11973.094741545234</v>
      </c>
      <c r="Z81" s="35">
        <v>106.06232154818838</v>
      </c>
      <c r="AA81" s="35">
        <v>407.85980946246661</v>
      </c>
      <c r="AB81" s="35">
        <v>1856.7158003967022</v>
      </c>
      <c r="AC81" s="35">
        <v>7303.1456484106366</v>
      </c>
      <c r="AD81" s="35">
        <v>270.4411432782868</v>
      </c>
      <c r="AE81" s="35">
        <v>976.04972652529943</v>
      </c>
      <c r="AF81" s="35">
        <v>1318.6779367809349</v>
      </c>
      <c r="AG81" s="35">
        <v>351.17769436752809</v>
      </c>
      <c r="AH81" s="35">
        <v>1621.2933302745914</v>
      </c>
      <c r="AI81" s="35">
        <v>13.380039293720136</v>
      </c>
      <c r="AJ81" s="35">
        <v>667.47514397809232</v>
      </c>
      <c r="AK81" s="35">
        <v>1140.4388575997548</v>
      </c>
      <c r="AL81" s="35">
        <v>185.95897999268368</v>
      </c>
      <c r="AM81" s="35">
        <v>464.09501710127688</v>
      </c>
      <c r="AN81" s="35"/>
      <c r="AO81" s="35">
        <v>223.83580878111616</v>
      </c>
      <c r="AP81" s="35">
        <v>225.47295446020186</v>
      </c>
      <c r="AQ81" s="35">
        <v>2.2464978215449447</v>
      </c>
      <c r="AR81" s="35">
        <v>29.404340339597134</v>
      </c>
      <c r="AS81" s="35">
        <v>26.010604119629011</v>
      </c>
      <c r="AT81" s="35">
        <v>30.68696584466834</v>
      </c>
      <c r="AU81" s="35">
        <v>95.010178420516752</v>
      </c>
      <c r="AV81" s="35">
        <v>154.91066053770294</v>
      </c>
      <c r="AW81" s="35">
        <v>1.6188425303859661</v>
      </c>
      <c r="AX81" s="35">
        <v>351.7142207582433</v>
      </c>
      <c r="AY81" s="35">
        <v>405.05981559244674</v>
      </c>
      <c r="AZ81" s="35">
        <v>3426.2299790274137</v>
      </c>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v>63.813490434126592</v>
      </c>
      <c r="DM81" s="35">
        <v>76.639575324927847</v>
      </c>
      <c r="DN81" s="35">
        <v>89.105412916857688</v>
      </c>
      <c r="DO81" s="35">
        <v>146.61973760221639</v>
      </c>
      <c r="DP81" s="35">
        <v>150.09337583137827</v>
      </c>
      <c r="DQ81" s="35">
        <v>270.15662853937937</v>
      </c>
      <c r="DR81" s="35">
        <v>323.91896714990833</v>
      </c>
      <c r="DS81" s="35">
        <v>595.98978033463197</v>
      </c>
      <c r="DT81" s="35">
        <v>1031.4056010535085</v>
      </c>
      <c r="DU81" s="35">
        <v>343.52541422950662</v>
      </c>
      <c r="DV81" s="35">
        <v>351.7942718836216</v>
      </c>
      <c r="DW81" s="35">
        <v>290.8999254220804</v>
      </c>
      <c r="DX81" s="35">
        <v>501.10341474959671</v>
      </c>
      <c r="DY81" s="35">
        <v>371.39230274529399</v>
      </c>
      <c r="DZ81" s="35"/>
      <c r="EA81" s="35"/>
      <c r="EB81" s="35"/>
      <c r="EC81" s="35"/>
      <c r="ED81" s="35"/>
      <c r="EE81" s="35"/>
      <c r="EF81" s="35"/>
      <c r="EG81" s="35"/>
      <c r="EH81" s="35"/>
      <c r="EI81" s="35"/>
      <c r="EJ81" s="35">
        <v>3484.1830361492166</v>
      </c>
      <c r="EK81" s="35">
        <v>39268.027590883277</v>
      </c>
      <c r="EL81" s="35">
        <v>208930.67988678691</v>
      </c>
    </row>
    <row r="82" spans="1:142" x14ac:dyDescent="0.25">
      <c r="A82" s="33" t="s">
        <v>283</v>
      </c>
      <c r="B82" s="35">
        <v>3927.9049649847839</v>
      </c>
      <c r="C82" s="35">
        <v>416.39250266174179</v>
      </c>
      <c r="D82" s="35">
        <v>44.498534251618018</v>
      </c>
      <c r="E82" s="35">
        <v>1700.7078154170219</v>
      </c>
      <c r="F82" s="35">
        <v>1266.7562210538081</v>
      </c>
      <c r="G82" s="35">
        <v>8918.9639648872217</v>
      </c>
      <c r="H82" s="35">
        <v>1678.0194626868965</v>
      </c>
      <c r="I82" s="35">
        <v>110.73272084283218</v>
      </c>
      <c r="J82" s="35">
        <v>132.81830580297867</v>
      </c>
      <c r="K82" s="35">
        <v>7.596048880105627E-2</v>
      </c>
      <c r="L82" s="35">
        <v>2388.9222576060838</v>
      </c>
      <c r="M82" s="35">
        <v>334.69379681465369</v>
      </c>
      <c r="N82" s="35">
        <v>557.79908278619394</v>
      </c>
      <c r="O82" s="35">
        <v>266.90328992938993</v>
      </c>
      <c r="P82" s="35">
        <v>39.965953148013881</v>
      </c>
      <c r="Q82" s="35">
        <v>44.275778142522164</v>
      </c>
      <c r="R82" s="35">
        <v>647.37467484470835</v>
      </c>
      <c r="S82" s="35">
        <v>2520.0033550931439</v>
      </c>
      <c r="T82" s="35">
        <v>2058.5882164877494</v>
      </c>
      <c r="U82" s="35">
        <v>3122.6753272004498</v>
      </c>
      <c r="V82" s="35">
        <v>9099.9054944275103</v>
      </c>
      <c r="W82" s="35">
        <v>12213.079357919189</v>
      </c>
      <c r="X82" s="35">
        <v>1074.0218291826393</v>
      </c>
      <c r="Y82" s="35">
        <v>724.85816112805719</v>
      </c>
      <c r="Z82" s="35">
        <v>34.246032581767487</v>
      </c>
      <c r="AA82" s="35">
        <v>752.88565677580732</v>
      </c>
      <c r="AB82" s="35">
        <v>920.37030323823865</v>
      </c>
      <c r="AC82" s="35">
        <v>75.094104962990556</v>
      </c>
      <c r="AD82" s="35">
        <v>914.08872097380697</v>
      </c>
      <c r="AE82" s="35">
        <v>306.62203769326663</v>
      </c>
      <c r="AF82" s="35">
        <v>319.75947861175314</v>
      </c>
      <c r="AG82" s="35">
        <v>73.286500758557636</v>
      </c>
      <c r="AH82" s="35">
        <v>1929.166822095621</v>
      </c>
      <c r="AI82" s="35">
        <v>33.665609842420793</v>
      </c>
      <c r="AJ82" s="35">
        <v>347.77729356453671</v>
      </c>
      <c r="AK82" s="35">
        <v>514.13515977080863</v>
      </c>
      <c r="AL82" s="35">
        <v>368.74045524232594</v>
      </c>
      <c r="AM82" s="35">
        <v>405.91485160589332</v>
      </c>
      <c r="AN82" s="35">
        <v>4918.4536296776223</v>
      </c>
      <c r="AO82" s="35">
        <v>2647.3476380465363</v>
      </c>
      <c r="AP82" s="35">
        <v>392.71229930829179</v>
      </c>
      <c r="AQ82" s="35">
        <v>30.096678356234168</v>
      </c>
      <c r="AR82" s="35">
        <v>393.93307840938701</v>
      </c>
      <c r="AS82" s="35">
        <v>348.47226663172211</v>
      </c>
      <c r="AT82" s="35">
        <v>411.11349240265702</v>
      </c>
      <c r="AU82" s="35">
        <v>1286.2490203970003</v>
      </c>
      <c r="AV82" s="35">
        <v>2075.332480142366</v>
      </c>
      <c r="AW82" s="35">
        <v>171.20723885895961</v>
      </c>
      <c r="AX82" s="35">
        <v>25022.224732401057</v>
      </c>
      <c r="AY82" s="35">
        <v>12226.334227803163</v>
      </c>
      <c r="AZ82" s="35">
        <v>7600.8827051472936</v>
      </c>
      <c r="BA82" s="35"/>
      <c r="BB82" s="35"/>
      <c r="BC82" s="35"/>
      <c r="BD82" s="35"/>
      <c r="BE82" s="35"/>
      <c r="BF82" s="35"/>
      <c r="BG82" s="35"/>
      <c r="BH82" s="35"/>
      <c r="BI82" s="35"/>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v>2112.9132176777725</v>
      </c>
      <c r="DM82" s="35">
        <v>2806.2475703382538</v>
      </c>
      <c r="DN82" s="35">
        <v>3485.4524967766256</v>
      </c>
      <c r="DO82" s="35">
        <v>3720.3179272288271</v>
      </c>
      <c r="DP82" s="35">
        <v>4067.1813264837542</v>
      </c>
      <c r="DQ82" s="35">
        <v>4560.3107268848735</v>
      </c>
      <c r="DR82" s="35">
        <v>5355.3185784912093</v>
      </c>
      <c r="DS82" s="35">
        <v>6661.4104776038903</v>
      </c>
      <c r="DT82" s="35">
        <v>12311.925613791542</v>
      </c>
      <c r="DU82" s="35">
        <v>3243.5949658244313</v>
      </c>
      <c r="DV82" s="35">
        <v>3855.0588909944117</v>
      </c>
      <c r="DW82" s="35">
        <v>3946.0967541767873</v>
      </c>
      <c r="DX82" s="35">
        <v>5424.2347245026513</v>
      </c>
      <c r="DY82" s="35">
        <v>10046.968946465637</v>
      </c>
      <c r="DZ82" s="35"/>
      <c r="EA82" s="35"/>
      <c r="EB82" s="35"/>
      <c r="EC82" s="35"/>
      <c r="ED82" s="35"/>
      <c r="EE82" s="35"/>
      <c r="EF82" s="35"/>
      <c r="EG82" s="35"/>
      <c r="EH82" s="35"/>
      <c r="EI82" s="35"/>
      <c r="EJ82" s="35">
        <v>4293.5527219361929</v>
      </c>
      <c r="EK82" s="35">
        <v>13182.890712732333</v>
      </c>
      <c r="EL82" s="35">
        <v>206883.52519499723</v>
      </c>
    </row>
    <row r="83" spans="1:142" x14ac:dyDescent="0.25">
      <c r="A83" s="33" t="s">
        <v>282</v>
      </c>
      <c r="B83" s="35">
        <v>432.24678391817605</v>
      </c>
      <c r="C83" s="35">
        <v>44.904669513168969</v>
      </c>
      <c r="D83" s="35">
        <v>6.0280131312759906</v>
      </c>
      <c r="E83" s="35">
        <v>832.95843799033037</v>
      </c>
      <c r="F83" s="35">
        <v>390.60157780444706</v>
      </c>
      <c r="G83" s="35">
        <v>2715.7243300058353</v>
      </c>
      <c r="H83" s="35">
        <v>450.22046575248464</v>
      </c>
      <c r="I83" s="35">
        <v>29.710106623001732</v>
      </c>
      <c r="J83" s="35">
        <v>35.635772307028766</v>
      </c>
      <c r="K83" s="35">
        <v>3.8729185617367959E-4</v>
      </c>
      <c r="L83" s="35"/>
      <c r="M83" s="35"/>
      <c r="N83" s="35">
        <v>15.086227588529569</v>
      </c>
      <c r="O83" s="35">
        <v>90.527561415043692</v>
      </c>
      <c r="P83" s="35">
        <v>0.98442316891709747</v>
      </c>
      <c r="Q83" s="35">
        <v>407.96705730326977</v>
      </c>
      <c r="R83" s="35">
        <v>108.88020290988277</v>
      </c>
      <c r="S83" s="35">
        <v>1.3098355788196354</v>
      </c>
      <c r="T83" s="35">
        <v>36.698255562754831</v>
      </c>
      <c r="U83" s="35"/>
      <c r="V83" s="35">
        <v>46.396743169626482</v>
      </c>
      <c r="W83" s="35">
        <v>66.84461785950694</v>
      </c>
      <c r="X83" s="35">
        <v>691.02558804539308</v>
      </c>
      <c r="Y83" s="35">
        <v>252.00445096749399</v>
      </c>
      <c r="Z83" s="35"/>
      <c r="AA83" s="35">
        <v>1.389252663239853</v>
      </c>
      <c r="AB83" s="35"/>
      <c r="AC83" s="35"/>
      <c r="AD83" s="35">
        <v>25.905480859363109</v>
      </c>
      <c r="AE83" s="35">
        <v>420.79139053936831</v>
      </c>
      <c r="AF83" s="35">
        <v>5.5592680444533817</v>
      </c>
      <c r="AG83" s="35">
        <v>63.423578945224413</v>
      </c>
      <c r="AH83" s="35">
        <v>2553.9296989964027</v>
      </c>
      <c r="AI83" s="35">
        <v>53.272633793181562</v>
      </c>
      <c r="AJ83" s="35">
        <v>66.851957335595387</v>
      </c>
      <c r="AK83" s="35">
        <v>753.55867477474658</v>
      </c>
      <c r="AL83" s="35">
        <v>8.9717370043377649</v>
      </c>
      <c r="AM83" s="35">
        <v>56.234633331108981</v>
      </c>
      <c r="AN83" s="35"/>
      <c r="AO83" s="35">
        <v>113.39796130335162</v>
      </c>
      <c r="AP83" s="35"/>
      <c r="AQ83" s="35">
        <v>62.545774070926441</v>
      </c>
      <c r="AR83" s="35">
        <v>818.70294953802033</v>
      </c>
      <c r="AS83" s="35">
        <v>724.23820705500952</v>
      </c>
      <c r="AT83" s="35">
        <v>854.59000698708553</v>
      </c>
      <c r="AU83" s="35">
        <v>2673.7520894877352</v>
      </c>
      <c r="AV83" s="35">
        <v>4314.2927640390844</v>
      </c>
      <c r="AW83" s="35">
        <v>49.197234003857588</v>
      </c>
      <c r="AX83" s="35">
        <v>424.0784426376544</v>
      </c>
      <c r="AY83" s="35">
        <v>553.63474667187813</v>
      </c>
      <c r="AZ83" s="35">
        <v>699.70757311011812</v>
      </c>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v>6.2650627575099147</v>
      </c>
      <c r="DM83" s="35">
        <v>12.552741052699581</v>
      </c>
      <c r="DN83" s="35">
        <v>44.224706869401196</v>
      </c>
      <c r="DO83" s="35">
        <v>80.567196161835398</v>
      </c>
      <c r="DP83" s="35">
        <v>146.75329160073215</v>
      </c>
      <c r="DQ83" s="35">
        <v>242.90864432942368</v>
      </c>
      <c r="DR83" s="35">
        <v>622.29126998966433</v>
      </c>
      <c r="DS83" s="35">
        <v>982.48201174649807</v>
      </c>
      <c r="DT83" s="35">
        <v>2839.9743979180334</v>
      </c>
      <c r="DU83" s="35">
        <v>854.91152947606008</v>
      </c>
      <c r="DV83" s="35">
        <v>554.87107014011758</v>
      </c>
      <c r="DW83" s="35">
        <v>698.18539462237936</v>
      </c>
      <c r="DX83" s="35">
        <v>852.08819457571587</v>
      </c>
      <c r="DY83" s="35">
        <v>1324.8762478577348</v>
      </c>
      <c r="DZ83" s="35"/>
      <c r="EA83" s="35"/>
      <c r="EB83" s="35"/>
      <c r="EC83" s="35"/>
      <c r="ED83" s="35"/>
      <c r="EE83" s="35"/>
      <c r="EF83" s="35"/>
      <c r="EG83" s="35"/>
      <c r="EH83" s="35">
        <v>2.6071971813960095</v>
      </c>
      <c r="EI83" s="35">
        <v>0.13887756848476099</v>
      </c>
      <c r="EJ83" s="35">
        <v>419.08833584131958</v>
      </c>
      <c r="EK83" s="35">
        <v>3797.4468600677192</v>
      </c>
      <c r="EL83" s="35">
        <v>35436.014592855317</v>
      </c>
    </row>
    <row r="84" spans="1:142" x14ac:dyDescent="0.25">
      <c r="A84" s="33" t="s">
        <v>281</v>
      </c>
      <c r="B84" s="35">
        <v>484.38408741090819</v>
      </c>
      <c r="C84" s="35">
        <v>51.610563380364759</v>
      </c>
      <c r="D84" s="35">
        <v>6.875014169944512</v>
      </c>
      <c r="E84" s="35">
        <v>255.17119650614262</v>
      </c>
      <c r="F84" s="35">
        <v>122.17730358587094</v>
      </c>
      <c r="G84" s="35">
        <v>1153.7553298366995</v>
      </c>
      <c r="H84" s="35">
        <v>237.00749379391701</v>
      </c>
      <c r="I84" s="35">
        <v>15.640155094457375</v>
      </c>
      <c r="J84" s="35">
        <v>18.759576088535351</v>
      </c>
      <c r="K84" s="35">
        <v>4.7119155612875101E-3</v>
      </c>
      <c r="L84" s="35">
        <v>8254.4282836124203</v>
      </c>
      <c r="M84" s="35">
        <v>3756.2325260270964</v>
      </c>
      <c r="N84" s="35">
        <v>516.54796619757792</v>
      </c>
      <c r="O84" s="35">
        <v>458.3442966356547</v>
      </c>
      <c r="P84" s="35">
        <v>41.421111764040617</v>
      </c>
      <c r="Q84" s="35">
        <v>101.96086492533595</v>
      </c>
      <c r="R84" s="35">
        <v>722.73022954024214</v>
      </c>
      <c r="S84" s="35">
        <v>591.47391162715394</v>
      </c>
      <c r="T84" s="35">
        <v>411.1183084664948</v>
      </c>
      <c r="U84" s="35">
        <v>283.27311104889804</v>
      </c>
      <c r="V84" s="35">
        <v>564.47749326281928</v>
      </c>
      <c r="W84" s="35">
        <v>5430.8154464039626</v>
      </c>
      <c r="X84" s="35">
        <v>327.95970134449749</v>
      </c>
      <c r="Y84" s="35">
        <v>1979.5457335840504</v>
      </c>
      <c r="Z84" s="35">
        <v>2758.2208945293669</v>
      </c>
      <c r="AA84" s="35">
        <v>245.93145931922177</v>
      </c>
      <c r="AB84" s="35">
        <v>218.99305111715393</v>
      </c>
      <c r="AC84" s="35">
        <v>71.149823237891113</v>
      </c>
      <c r="AD84" s="35">
        <v>400.23244766101163</v>
      </c>
      <c r="AE84" s="35">
        <v>659.86233853128999</v>
      </c>
      <c r="AF84" s="35">
        <v>1512.2388322688691</v>
      </c>
      <c r="AG84" s="35">
        <v>493.5729614559516</v>
      </c>
      <c r="AH84" s="35">
        <v>4156.5132876155903</v>
      </c>
      <c r="AI84" s="35">
        <v>22.974393002111483</v>
      </c>
      <c r="AJ84" s="35">
        <v>839.83395637141257</v>
      </c>
      <c r="AK84" s="35">
        <v>1154.2293364659033</v>
      </c>
      <c r="AL84" s="35">
        <v>13.290334224449923</v>
      </c>
      <c r="AM84" s="35">
        <v>12.628276382599458</v>
      </c>
      <c r="AN84" s="35">
        <v>11312.547052416179</v>
      </c>
      <c r="AO84" s="35">
        <v>12667.477764387148</v>
      </c>
      <c r="AP84" s="35"/>
      <c r="AQ84" s="35">
        <v>2.5104039774355766</v>
      </c>
      <c r="AR84" s="35">
        <v>34.104578855363769</v>
      </c>
      <c r="AS84" s="35">
        <v>92.794882116395954</v>
      </c>
      <c r="AT84" s="35">
        <v>120.73233594480054</v>
      </c>
      <c r="AU84" s="35">
        <v>377.7347416443917</v>
      </c>
      <c r="AV84" s="35">
        <v>368.70029475074824</v>
      </c>
      <c r="AW84" s="35"/>
      <c r="AX84" s="35">
        <v>1148.3314459734438</v>
      </c>
      <c r="AY84" s="35">
        <v>77.341183532835018</v>
      </c>
      <c r="AZ84" s="35">
        <v>3951.8128018498433</v>
      </c>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v>64.052666624885902</v>
      </c>
      <c r="DM84" s="35">
        <v>102.84587426237344</v>
      </c>
      <c r="DN84" s="35">
        <v>149.45250206312608</v>
      </c>
      <c r="DO84" s="35">
        <v>161.28274923401312</v>
      </c>
      <c r="DP84" s="35">
        <v>220.13248805595225</v>
      </c>
      <c r="DQ84" s="35">
        <v>262.9827091436905</v>
      </c>
      <c r="DR84" s="35">
        <v>384.44647172051555</v>
      </c>
      <c r="DS84" s="35">
        <v>622.58900299790184</v>
      </c>
      <c r="DT84" s="35">
        <v>1080.6132166613638</v>
      </c>
      <c r="DU84" s="35">
        <v>237.17068986057114</v>
      </c>
      <c r="DV84" s="35">
        <v>417.43422379043227</v>
      </c>
      <c r="DW84" s="35">
        <v>328.64454167487929</v>
      </c>
      <c r="DX84" s="35">
        <v>574.28400772260693</v>
      </c>
      <c r="DY84" s="35">
        <v>413.69641268484781</v>
      </c>
      <c r="DZ84" s="35"/>
      <c r="EA84" s="35"/>
      <c r="EB84" s="35"/>
      <c r="EC84" s="35"/>
      <c r="ED84" s="35"/>
      <c r="EE84" s="35"/>
      <c r="EF84" s="35"/>
      <c r="EG84" s="35"/>
      <c r="EH84" s="35">
        <v>9.0427736632679014</v>
      </c>
      <c r="EI84" s="35">
        <v>0.48168141162236494</v>
      </c>
      <c r="EJ84" s="35">
        <v>815.55863786607949</v>
      </c>
      <c r="EK84" s="35">
        <v>3725.7091555941861</v>
      </c>
      <c r="EL84" s="35">
        <v>78069.893098886416</v>
      </c>
    </row>
    <row r="85" spans="1:142" x14ac:dyDescent="0.25">
      <c r="A85" s="33" t="s">
        <v>280</v>
      </c>
      <c r="B85" s="35">
        <v>35.403241041053732</v>
      </c>
      <c r="C85" s="35">
        <v>3.9784998468058608</v>
      </c>
      <c r="D85" s="35"/>
      <c r="E85" s="35">
        <v>30.456165488605507</v>
      </c>
      <c r="F85" s="35">
        <v>13.008886383115954</v>
      </c>
      <c r="G85" s="35">
        <v>112.07317697428921</v>
      </c>
      <c r="H85" s="35">
        <v>20.034622493042967</v>
      </c>
      <c r="I85" s="35">
        <v>1.3220873232074088</v>
      </c>
      <c r="J85" s="35">
        <v>1.585776968681518</v>
      </c>
      <c r="K85" s="35">
        <v>7.8278891717857078E-5</v>
      </c>
      <c r="L85" s="35">
        <v>324.58688309779762</v>
      </c>
      <c r="M85" s="35">
        <v>3262.5204245808864</v>
      </c>
      <c r="N85" s="35">
        <v>1.0256970070455074</v>
      </c>
      <c r="O85" s="35"/>
      <c r="P85" s="35">
        <v>1.1327055088019976E-2</v>
      </c>
      <c r="Q85" s="35"/>
      <c r="R85" s="35">
        <v>129.2675212006861</v>
      </c>
      <c r="S85" s="35"/>
      <c r="T85" s="35">
        <v>25.296850246193088</v>
      </c>
      <c r="U85" s="35">
        <v>6.3808588205527075</v>
      </c>
      <c r="V85" s="35">
        <v>9.3776452480005439</v>
      </c>
      <c r="W85" s="35">
        <v>1319.8332186102555</v>
      </c>
      <c r="X85" s="35"/>
      <c r="Y85" s="35">
        <v>6.0344145064787824</v>
      </c>
      <c r="Z85" s="35">
        <v>2586.9588134907426</v>
      </c>
      <c r="AA85" s="35">
        <v>23.183153843580843</v>
      </c>
      <c r="AB85" s="35">
        <v>0.7450152379103776</v>
      </c>
      <c r="AC85" s="35">
        <v>0.89409366159482118</v>
      </c>
      <c r="AD85" s="35">
        <v>5.038949835195071</v>
      </c>
      <c r="AE85" s="35">
        <v>134.95058421086716</v>
      </c>
      <c r="AF85" s="35">
        <v>79.136889657958974</v>
      </c>
      <c r="AG85" s="35">
        <v>264.62595755535926</v>
      </c>
      <c r="AH85" s="35">
        <v>1275.6251321816776</v>
      </c>
      <c r="AI85" s="35">
        <v>107.72307135261511</v>
      </c>
      <c r="AJ85" s="35">
        <v>210.64454193364188</v>
      </c>
      <c r="AK85" s="35">
        <v>25.981050140387087</v>
      </c>
      <c r="AL85" s="35">
        <v>134.51740936335852</v>
      </c>
      <c r="AM85" s="35">
        <v>31.151244989715067</v>
      </c>
      <c r="AN85" s="35">
        <v>1461.3812400425779</v>
      </c>
      <c r="AO85" s="35">
        <v>57.373033371300011</v>
      </c>
      <c r="AP85" s="35">
        <v>64.371775349187118</v>
      </c>
      <c r="AQ85" s="35">
        <v>1.1284309293528358</v>
      </c>
      <c r="AR85" s="35">
        <v>14.770036530174776</v>
      </c>
      <c r="AS85" s="35">
        <v>13.06532129789659</v>
      </c>
      <c r="AT85" s="35">
        <v>15.414451572654226</v>
      </c>
      <c r="AU85" s="35">
        <v>48.227128522127188</v>
      </c>
      <c r="AV85" s="35">
        <v>77.813798603973268</v>
      </c>
      <c r="AW85" s="35"/>
      <c r="AX85" s="35">
        <v>91.027427631078567</v>
      </c>
      <c r="AY85" s="35">
        <v>409.99582860613742</v>
      </c>
      <c r="AZ85" s="35">
        <v>906.35869694120242</v>
      </c>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v>66.249129930823685</v>
      </c>
      <c r="DM85" s="35">
        <v>128.19801773694982</v>
      </c>
      <c r="DN85" s="35">
        <v>138.23140993698328</v>
      </c>
      <c r="DO85" s="35">
        <v>149.37183013300893</v>
      </c>
      <c r="DP85" s="35">
        <v>276.98104890398889</v>
      </c>
      <c r="DQ85" s="35">
        <v>276.48941719252667</v>
      </c>
      <c r="DR85" s="35">
        <v>282.73003617306887</v>
      </c>
      <c r="DS85" s="35">
        <v>399.33567762147641</v>
      </c>
      <c r="DT85" s="35">
        <v>833.21768020253273</v>
      </c>
      <c r="DU85" s="35">
        <v>199.90881778873617</v>
      </c>
      <c r="DV85" s="35">
        <v>502.48865095850704</v>
      </c>
      <c r="DW85" s="35">
        <v>208.5361329371195</v>
      </c>
      <c r="DX85" s="35">
        <v>471.72223025898251</v>
      </c>
      <c r="DY85" s="35">
        <v>1345.9332866139582</v>
      </c>
      <c r="DZ85" s="35"/>
      <c r="EA85" s="35"/>
      <c r="EB85" s="35"/>
      <c r="EC85" s="35"/>
      <c r="ED85" s="35"/>
      <c r="EE85" s="35"/>
      <c r="EF85" s="35"/>
      <c r="EG85" s="35"/>
      <c r="EH85" s="35">
        <v>8.7735597530213427E-2</v>
      </c>
      <c r="EI85" s="35">
        <v>4.673411946552318E-3</v>
      </c>
      <c r="EJ85" s="35">
        <v>634.70993975255544</v>
      </c>
      <c r="EK85" s="35">
        <v>896.12599570709085</v>
      </c>
      <c r="EL85" s="35">
        <v>20154.622162880733</v>
      </c>
    </row>
    <row r="86" spans="1:142" x14ac:dyDescent="0.25">
      <c r="A86" s="33" t="s">
        <v>279</v>
      </c>
      <c r="B86" s="35">
        <v>506.90175909044262</v>
      </c>
      <c r="C86" s="35">
        <v>56.885885678444239</v>
      </c>
      <c r="D86" s="35">
        <v>7.5910659358774675</v>
      </c>
      <c r="E86" s="35">
        <v>138.08436495305216</v>
      </c>
      <c r="F86" s="35">
        <v>69.078520790903525</v>
      </c>
      <c r="G86" s="35">
        <v>493.60037436373477</v>
      </c>
      <c r="H86" s="35">
        <v>213.64787774208827</v>
      </c>
      <c r="I86" s="35">
        <v>14.098651017310956</v>
      </c>
      <c r="J86" s="35">
        <v>16.910619805725613</v>
      </c>
      <c r="K86" s="35"/>
      <c r="L86" s="35"/>
      <c r="M86" s="35"/>
      <c r="N86" s="35">
        <v>0.11427456329725132</v>
      </c>
      <c r="O86" s="35"/>
      <c r="P86" s="35"/>
      <c r="Q86" s="35"/>
      <c r="R86" s="35">
        <v>51.007733415289735</v>
      </c>
      <c r="S86" s="35">
        <v>34.730093330018519</v>
      </c>
      <c r="T86" s="35">
        <v>0.98666255397209812</v>
      </c>
      <c r="U86" s="35">
        <v>98.234441721612313</v>
      </c>
      <c r="V86" s="35"/>
      <c r="W86" s="35">
        <v>257.38963557273223</v>
      </c>
      <c r="X86" s="35"/>
      <c r="Y86" s="35">
        <v>285.01236207123287</v>
      </c>
      <c r="Z86" s="35">
        <v>137.51445950970475</v>
      </c>
      <c r="AA86" s="35">
        <v>5041.4929779200875</v>
      </c>
      <c r="AB86" s="35">
        <v>272.26809296601567</v>
      </c>
      <c r="AC86" s="35">
        <v>16.793651818201699</v>
      </c>
      <c r="AD86" s="35">
        <v>94.068926722072291</v>
      </c>
      <c r="AE86" s="35">
        <v>75.138403425486842</v>
      </c>
      <c r="AF86" s="35">
        <v>39.440635990331302</v>
      </c>
      <c r="AG86" s="35"/>
      <c r="AH86" s="35">
        <v>1206.1694734223822</v>
      </c>
      <c r="AI86" s="35">
        <v>1.3424196662065804</v>
      </c>
      <c r="AJ86" s="35">
        <v>24.696154735882715</v>
      </c>
      <c r="AK86" s="35">
        <v>515.64369248183755</v>
      </c>
      <c r="AL86" s="35">
        <v>139.58137934052937</v>
      </c>
      <c r="AM86" s="35">
        <v>57.461245562783631</v>
      </c>
      <c r="AN86" s="35">
        <v>48695.670860780876</v>
      </c>
      <c r="AO86" s="35">
        <v>1058.2158833073941</v>
      </c>
      <c r="AP86" s="35">
        <v>179.93475870708761</v>
      </c>
      <c r="AQ86" s="35">
        <v>16.648190953543409</v>
      </c>
      <c r="AR86" s="35">
        <v>217.90892923493905</v>
      </c>
      <c r="AS86" s="35">
        <v>192.76009176900561</v>
      </c>
      <c r="AT86" s="35">
        <v>227.41957869378507</v>
      </c>
      <c r="AU86" s="35">
        <v>711.52666044703381</v>
      </c>
      <c r="AV86" s="35">
        <v>1148.0424723192316</v>
      </c>
      <c r="AW86" s="35">
        <v>7.348824087546399</v>
      </c>
      <c r="AX86" s="35">
        <v>696.41254475464189</v>
      </c>
      <c r="AY86" s="35">
        <v>1392.8608188832627</v>
      </c>
      <c r="AZ86" s="35">
        <v>5319.4444913288298</v>
      </c>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v>40.590040356607737</v>
      </c>
      <c r="DM86" s="35">
        <v>6.2516432631061472</v>
      </c>
      <c r="DN86" s="35">
        <v>15.328976695426336</v>
      </c>
      <c r="DO86" s="35">
        <v>17.017023504441845</v>
      </c>
      <c r="DP86" s="35">
        <v>6.1288949219729174</v>
      </c>
      <c r="DQ86" s="35">
        <v>181.90068790654584</v>
      </c>
      <c r="DR86" s="35">
        <v>83.446876242235902</v>
      </c>
      <c r="DS86" s="35">
        <v>422.91621383889293</v>
      </c>
      <c r="DT86" s="35">
        <v>634.82531955313198</v>
      </c>
      <c r="DU86" s="35">
        <v>212.92068667429186</v>
      </c>
      <c r="DV86" s="35">
        <v>249.3025391843517</v>
      </c>
      <c r="DW86" s="35">
        <v>233.7460338422822</v>
      </c>
      <c r="DX86" s="35">
        <v>567.40332578228197</v>
      </c>
      <c r="DY86" s="35">
        <v>613.25946811773929</v>
      </c>
      <c r="DZ86" s="35"/>
      <c r="EA86" s="35"/>
      <c r="EB86" s="35"/>
      <c r="EC86" s="35"/>
      <c r="ED86" s="35"/>
      <c r="EE86" s="35"/>
      <c r="EF86" s="35"/>
      <c r="EG86" s="35"/>
      <c r="EH86" s="35">
        <v>13.695802948845223</v>
      </c>
      <c r="EI86" s="35">
        <v>0.72953431583705797</v>
      </c>
      <c r="EJ86" s="35">
        <v>1749.7542434355141</v>
      </c>
      <c r="EK86" s="35">
        <v>3394.044242001612</v>
      </c>
      <c r="EL86" s="35">
        <v>78173.341494019536</v>
      </c>
    </row>
    <row r="87" spans="1:142" x14ac:dyDescent="0.25">
      <c r="A87" s="33" t="s">
        <v>278</v>
      </c>
      <c r="B87" s="35">
        <v>160.03652131689856</v>
      </c>
      <c r="C87" s="35">
        <v>16.350034544820165</v>
      </c>
      <c r="D87" s="35"/>
      <c r="E87" s="35">
        <v>122.25023653167042</v>
      </c>
      <c r="F87" s="35">
        <v>156.82225666015532</v>
      </c>
      <c r="G87" s="35">
        <v>1097.8186193493957</v>
      </c>
      <c r="H87" s="35">
        <v>245.76072918250674</v>
      </c>
      <c r="I87" s="35">
        <v>16.217782227103552</v>
      </c>
      <c r="J87" s="35">
        <v>19.452410659563267</v>
      </c>
      <c r="K87" s="35">
        <v>1.4487465509584762E-3</v>
      </c>
      <c r="L87" s="35"/>
      <c r="M87" s="35"/>
      <c r="N87" s="35">
        <v>140.96467459708023</v>
      </c>
      <c r="O87" s="35">
        <v>2.576767795573407</v>
      </c>
      <c r="P87" s="35">
        <v>2.7408529579376868</v>
      </c>
      <c r="Q87" s="35">
        <v>26.110584374789159</v>
      </c>
      <c r="R87" s="35">
        <v>393.93635067406444</v>
      </c>
      <c r="S87" s="35"/>
      <c r="T87" s="35">
        <v>2.2057833080772147</v>
      </c>
      <c r="U87" s="35">
        <v>125.4445635469859</v>
      </c>
      <c r="V87" s="35">
        <v>173.5567649337799</v>
      </c>
      <c r="W87" s="35">
        <v>179.75119466272852</v>
      </c>
      <c r="X87" s="35">
        <v>410.99004385833263</v>
      </c>
      <c r="Y87" s="35">
        <v>121.32663156415538</v>
      </c>
      <c r="Z87" s="35"/>
      <c r="AA87" s="35">
        <v>122.74009669730849</v>
      </c>
      <c r="AB87" s="35">
        <v>19797.440843785847</v>
      </c>
      <c r="AC87" s="35">
        <v>16285.940257899176</v>
      </c>
      <c r="AD87" s="35">
        <v>27599.507243409807</v>
      </c>
      <c r="AE87" s="35">
        <v>15398.129405640264</v>
      </c>
      <c r="AF87" s="35">
        <v>4228.5593353895456</v>
      </c>
      <c r="AG87" s="35">
        <v>364.94844162745812</v>
      </c>
      <c r="AH87" s="35">
        <v>17784.955891672809</v>
      </c>
      <c r="AI87" s="35">
        <v>1539.1798240696419</v>
      </c>
      <c r="AJ87" s="35">
        <v>545.14719240736406</v>
      </c>
      <c r="AK87" s="35">
        <v>361.81569544179837</v>
      </c>
      <c r="AL87" s="35">
        <v>930.73888495866345</v>
      </c>
      <c r="AM87" s="35">
        <v>152.39077847319734</v>
      </c>
      <c r="AN87" s="35">
        <v>16406.705907166568</v>
      </c>
      <c r="AO87" s="35"/>
      <c r="AP87" s="35"/>
      <c r="AQ87" s="35">
        <v>15.231111926663919</v>
      </c>
      <c r="AR87" s="35">
        <v>199.35063205943871</v>
      </c>
      <c r="AS87" s="35">
        <v>176.34553251076395</v>
      </c>
      <c r="AT87" s="35">
        <v>208.01393847615492</v>
      </c>
      <c r="AU87" s="35">
        <v>650.81231712974773</v>
      </c>
      <c r="AV87" s="35">
        <v>1050.025332897259</v>
      </c>
      <c r="AW87" s="35"/>
      <c r="AX87" s="35">
        <v>4.8775598743189077</v>
      </c>
      <c r="AY87" s="35">
        <v>280.84614965208391</v>
      </c>
      <c r="AZ87" s="35">
        <v>1543.3303163938267</v>
      </c>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v>9705.3618353581223</v>
      </c>
      <c r="EK87" s="35">
        <v>69556.185133179315</v>
      </c>
      <c r="EL87" s="35">
        <v>208322.89390958933</v>
      </c>
    </row>
    <row r="88" spans="1:142" x14ac:dyDescent="0.25">
      <c r="A88" s="33" t="s">
        <v>277</v>
      </c>
      <c r="B88" s="35">
        <v>50.239019869701629</v>
      </c>
      <c r="C88" s="35">
        <v>5.0179351827354894</v>
      </c>
      <c r="D88" s="35"/>
      <c r="E88" s="35">
        <v>41.394136314321933</v>
      </c>
      <c r="F88" s="35">
        <v>54.698484198590521</v>
      </c>
      <c r="G88" s="35">
        <v>377.65766260958878</v>
      </c>
      <c r="H88" s="35">
        <v>112.17602232361995</v>
      </c>
      <c r="I88" s="35">
        <v>7.4025101862233118</v>
      </c>
      <c r="J88" s="35">
        <v>8.878937085082157</v>
      </c>
      <c r="K88" s="35">
        <v>4.4859334166790351E-3</v>
      </c>
      <c r="L88" s="35">
        <v>2.4370794340845587</v>
      </c>
      <c r="M88" s="35"/>
      <c r="N88" s="35">
        <v>97.621261818120715</v>
      </c>
      <c r="O88" s="35"/>
      <c r="P88" s="35"/>
      <c r="Q88" s="35"/>
      <c r="R88" s="35">
        <v>152.631417137081</v>
      </c>
      <c r="S88" s="35">
        <v>123.98963460007597</v>
      </c>
      <c r="T88" s="35">
        <v>153.31273822118663</v>
      </c>
      <c r="U88" s="35">
        <v>280.4696099476854</v>
      </c>
      <c r="V88" s="35">
        <v>537.40531150328616</v>
      </c>
      <c r="W88" s="35">
        <v>212.53617120960001</v>
      </c>
      <c r="X88" s="35"/>
      <c r="Y88" s="35">
        <v>164.17524813581883</v>
      </c>
      <c r="Z88" s="35">
        <v>0.69528458629276679</v>
      </c>
      <c r="AA88" s="35">
        <v>89.360507726084606</v>
      </c>
      <c r="AB88" s="35">
        <v>19639.386495989813</v>
      </c>
      <c r="AC88" s="35">
        <v>9639.0489040265747</v>
      </c>
      <c r="AD88" s="35">
        <v>12797.345069578754</v>
      </c>
      <c r="AE88" s="35">
        <v>1537.3086077697074</v>
      </c>
      <c r="AF88" s="35">
        <v>8673.6500881317043</v>
      </c>
      <c r="AG88" s="35">
        <v>155.12736876339807</v>
      </c>
      <c r="AH88" s="35">
        <v>15093.40487107706</v>
      </c>
      <c r="AI88" s="35">
        <v>12.961445548466457</v>
      </c>
      <c r="AJ88" s="35">
        <v>409.77843715049283</v>
      </c>
      <c r="AK88" s="35">
        <v>796.46821482705616</v>
      </c>
      <c r="AL88" s="35"/>
      <c r="AM88" s="35">
        <v>69.087448150953222</v>
      </c>
      <c r="AN88" s="35"/>
      <c r="AO88" s="35"/>
      <c r="AP88" s="35"/>
      <c r="AQ88" s="35">
        <v>0.3720844499793427</v>
      </c>
      <c r="AR88" s="35">
        <v>4.8702571991157333</v>
      </c>
      <c r="AS88" s="35">
        <v>4.3081383337277588</v>
      </c>
      <c r="AT88" s="35">
        <v>5.0829035189471412</v>
      </c>
      <c r="AU88" s="35">
        <v>15.902858438941305</v>
      </c>
      <c r="AV88" s="35">
        <v>25.659271998375527</v>
      </c>
      <c r="AW88" s="35"/>
      <c r="AX88" s="35">
        <v>0.13048688012349549</v>
      </c>
      <c r="AY88" s="35">
        <v>81.564959395776498</v>
      </c>
      <c r="AZ88" s="35">
        <v>168.83598956819714</v>
      </c>
      <c r="BA88" s="35"/>
      <c r="BB88" s="35"/>
      <c r="BC88" s="35"/>
      <c r="BD88" s="35"/>
      <c r="BE88" s="35"/>
      <c r="BF88" s="35"/>
      <c r="BG88" s="35"/>
      <c r="BH88" s="35"/>
      <c r="BI88" s="35"/>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c r="DR88" s="35"/>
      <c r="DS88" s="35"/>
      <c r="DT88" s="35"/>
      <c r="DU88" s="35"/>
      <c r="DV88" s="35"/>
      <c r="DW88" s="35"/>
      <c r="DX88" s="35"/>
      <c r="DY88" s="35"/>
      <c r="DZ88" s="35"/>
      <c r="EA88" s="35"/>
      <c r="EB88" s="35"/>
      <c r="EC88" s="35"/>
      <c r="ED88" s="35"/>
      <c r="EE88" s="35"/>
      <c r="EF88" s="35"/>
      <c r="EG88" s="35"/>
      <c r="EH88" s="35">
        <v>247.8103708593197</v>
      </c>
      <c r="EI88" s="35">
        <v>13.200114665597216</v>
      </c>
      <c r="EJ88" s="35">
        <v>-6958.3562415100823</v>
      </c>
      <c r="EK88" s="35">
        <v>56749.155386442791</v>
      </c>
      <c r="EL88" s="35">
        <v>121654.2069892774</v>
      </c>
    </row>
    <row r="89" spans="1:142" x14ac:dyDescent="0.25">
      <c r="A89" s="33" t="s">
        <v>276</v>
      </c>
      <c r="B89" s="35">
        <v>4518.7848248471419</v>
      </c>
      <c r="C89" s="35">
        <v>470.50086942461263</v>
      </c>
      <c r="D89" s="35">
        <v>43.75306339556073</v>
      </c>
      <c r="E89" s="35">
        <v>1467.470574014086</v>
      </c>
      <c r="F89" s="35">
        <v>954.53967015139915</v>
      </c>
      <c r="G89" s="35">
        <v>6710.2502477788594</v>
      </c>
      <c r="H89" s="35">
        <v>1643.4661488117465</v>
      </c>
      <c r="I89" s="35">
        <v>108.45254320210022</v>
      </c>
      <c r="J89" s="35">
        <v>130.08334788930384</v>
      </c>
      <c r="K89" s="35">
        <v>8.1078324359643208E-3</v>
      </c>
      <c r="L89" s="35"/>
      <c r="M89" s="35">
        <v>36.746772348233833</v>
      </c>
      <c r="N89" s="35">
        <v>34.393385768043757</v>
      </c>
      <c r="O89" s="35">
        <v>64.795312474715587</v>
      </c>
      <c r="P89" s="35">
        <v>96.59082182852346</v>
      </c>
      <c r="Q89" s="35">
        <v>100.06018184601878</v>
      </c>
      <c r="R89" s="35">
        <v>499.23720380890063</v>
      </c>
      <c r="S89" s="35">
        <v>2092.5290861872286</v>
      </c>
      <c r="T89" s="35">
        <v>341.96482889097558</v>
      </c>
      <c r="U89" s="35"/>
      <c r="V89" s="35">
        <v>971.30113426683693</v>
      </c>
      <c r="W89" s="35">
        <v>75.947261651563281</v>
      </c>
      <c r="X89" s="35">
        <v>219.63906040057861</v>
      </c>
      <c r="Y89" s="35">
        <v>1619.9363932722804</v>
      </c>
      <c r="Z89" s="35"/>
      <c r="AA89" s="35">
        <v>138.74428060443489</v>
      </c>
      <c r="AB89" s="35">
        <v>1561.635373592163</v>
      </c>
      <c r="AC89" s="35">
        <v>1.7127106530016389</v>
      </c>
      <c r="AD89" s="35">
        <v>4666.5399160628767</v>
      </c>
      <c r="AE89" s="35">
        <v>12460.129631715641</v>
      </c>
      <c r="AF89" s="35">
        <v>1866.17431181897</v>
      </c>
      <c r="AG89" s="35">
        <v>161.59785946708635</v>
      </c>
      <c r="AH89" s="35">
        <v>5601.768370020558</v>
      </c>
      <c r="AI89" s="35">
        <v>307.02852413575033</v>
      </c>
      <c r="AJ89" s="35">
        <v>1776.8048216508755</v>
      </c>
      <c r="AK89" s="35">
        <v>1226.5421250594957</v>
      </c>
      <c r="AL89" s="35">
        <v>1075.2227787528366</v>
      </c>
      <c r="AM89" s="35">
        <v>542.04754593253256</v>
      </c>
      <c r="AN89" s="35">
        <v>33972.597364492634</v>
      </c>
      <c r="AO89" s="35">
        <v>4968.9335863095048</v>
      </c>
      <c r="AP89" s="35">
        <v>205.01819560776636</v>
      </c>
      <c r="AQ89" s="35">
        <v>11.388682124100932</v>
      </c>
      <c r="AR89" s="35">
        <v>149.06671520499651</v>
      </c>
      <c r="AS89" s="35">
        <v>131.86290929036514</v>
      </c>
      <c r="AT89" s="35">
        <v>155.57172806982615</v>
      </c>
      <c r="AU89" s="35">
        <v>486.73659835832996</v>
      </c>
      <c r="AV89" s="35">
        <v>785.34408230161966</v>
      </c>
      <c r="AW89" s="35">
        <v>87.199395936727726</v>
      </c>
      <c r="AX89" s="35">
        <v>4148.9138240733992</v>
      </c>
      <c r="AY89" s="35">
        <v>3223.8833111555082</v>
      </c>
      <c r="AZ89" s="35">
        <v>7582.3962639829451</v>
      </c>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v>137.78810339773548</v>
      </c>
      <c r="DM89" s="35">
        <v>193.06189737543747</v>
      </c>
      <c r="DN89" s="35">
        <v>249.1177503481866</v>
      </c>
      <c r="DO89" s="35">
        <v>276.61646287827756</v>
      </c>
      <c r="DP89" s="35">
        <v>301.29827995352196</v>
      </c>
      <c r="DQ89" s="35">
        <v>466.29523686772922</v>
      </c>
      <c r="DR89" s="35">
        <v>401.25014105418722</v>
      </c>
      <c r="DS89" s="35">
        <v>692.5449701190463</v>
      </c>
      <c r="DT89" s="35">
        <v>1399.1619747839368</v>
      </c>
      <c r="DU89" s="35">
        <v>237.77253763416809</v>
      </c>
      <c r="DV89" s="35">
        <v>521.6652525169078</v>
      </c>
      <c r="DW89" s="35">
        <v>277.97189285224317</v>
      </c>
      <c r="DX89" s="35">
        <v>855.20694640892725</v>
      </c>
      <c r="DY89" s="35">
        <v>1442.2833602275439</v>
      </c>
      <c r="DZ89" s="35"/>
      <c r="EA89" s="35"/>
      <c r="EB89" s="35"/>
      <c r="EC89" s="35"/>
      <c r="ED89" s="35"/>
      <c r="EE89" s="35"/>
      <c r="EF89" s="35"/>
      <c r="EG89" s="35"/>
      <c r="EH89" s="35">
        <v>814.3273879279169</v>
      </c>
      <c r="EI89" s="35">
        <v>43.376775793160924</v>
      </c>
      <c r="EJ89" s="35">
        <v>5361.7253204164581</v>
      </c>
      <c r="EK89" s="35">
        <v>15223.124761063049</v>
      </c>
      <c r="EL89" s="35">
        <v>138389.90079808357</v>
      </c>
    </row>
    <row r="90" spans="1:142" x14ac:dyDescent="0.25">
      <c r="A90" s="33" t="s">
        <v>275</v>
      </c>
      <c r="B90" s="35">
        <v>3707.7735318119849</v>
      </c>
      <c r="C90" s="35">
        <v>392.56717599775789</v>
      </c>
      <c r="D90" s="35">
        <v>37.254310478135089</v>
      </c>
      <c r="E90" s="35">
        <v>2667.4662820243807</v>
      </c>
      <c r="F90" s="35">
        <v>1788.9213915428616</v>
      </c>
      <c r="G90" s="35">
        <v>12603.808030595728</v>
      </c>
      <c r="H90" s="35">
        <v>2284.8949561468457</v>
      </c>
      <c r="I90" s="35">
        <v>150.78051295607281</v>
      </c>
      <c r="J90" s="35">
        <v>180.85360972348937</v>
      </c>
      <c r="K90" s="35">
        <v>1.879550172518185E-5</v>
      </c>
      <c r="L90" s="35">
        <v>19.667231235183742</v>
      </c>
      <c r="M90" s="35"/>
      <c r="N90" s="35">
        <v>2.6695325040263024E-2</v>
      </c>
      <c r="O90" s="35"/>
      <c r="P90" s="35"/>
      <c r="Q90" s="35"/>
      <c r="R90" s="35">
        <v>40.165212568704852</v>
      </c>
      <c r="S90" s="35"/>
      <c r="T90" s="35">
        <v>0.41618930272233462</v>
      </c>
      <c r="U90" s="35"/>
      <c r="V90" s="35">
        <v>2.2516612533584133</v>
      </c>
      <c r="W90" s="35">
        <v>328.65295163891847</v>
      </c>
      <c r="X90" s="35">
        <v>0.85929314084637365</v>
      </c>
      <c r="Y90" s="35">
        <v>17.825705302116354</v>
      </c>
      <c r="Z90" s="35"/>
      <c r="AA90" s="35"/>
      <c r="AB90" s="35">
        <v>495.43806745302959</v>
      </c>
      <c r="AC90" s="35">
        <v>10.94343311723698</v>
      </c>
      <c r="AD90" s="35">
        <v>1676.9395022293484</v>
      </c>
      <c r="AE90" s="35">
        <v>9247.0002502149091</v>
      </c>
      <c r="AF90" s="35">
        <v>6108.2567899499927</v>
      </c>
      <c r="AG90" s="35">
        <v>331.87918766876635</v>
      </c>
      <c r="AH90" s="35">
        <v>4112.5231759183107</v>
      </c>
      <c r="AI90" s="35">
        <v>2424.3838568113479</v>
      </c>
      <c r="AJ90" s="35">
        <v>4.8287073066653914</v>
      </c>
      <c r="AK90" s="35">
        <v>31.486385985912079</v>
      </c>
      <c r="AL90" s="35">
        <v>489.53653180356565</v>
      </c>
      <c r="AM90" s="35">
        <v>520.42261982649291</v>
      </c>
      <c r="AN90" s="35">
        <v>2408.5001936042854</v>
      </c>
      <c r="AO90" s="35">
        <v>4937.0120512665044</v>
      </c>
      <c r="AP90" s="35">
        <v>21.38215912296468</v>
      </c>
      <c r="AQ90" s="35">
        <v>11.15283085054531</v>
      </c>
      <c r="AR90" s="35">
        <v>145.98068998384784</v>
      </c>
      <c r="AS90" s="35">
        <v>129.132417298246</v>
      </c>
      <c r="AT90" s="35">
        <v>152.35469772746413</v>
      </c>
      <c r="AU90" s="35">
        <v>476.67148932416137</v>
      </c>
      <c r="AV90" s="35">
        <v>769.10971984775165</v>
      </c>
      <c r="AW90" s="35">
        <v>42.06974776715284</v>
      </c>
      <c r="AX90" s="35">
        <v>9563.5234800465314</v>
      </c>
      <c r="AY90" s="35">
        <v>5221.134084970241</v>
      </c>
      <c r="AZ90" s="35">
        <v>1982.6711940680682</v>
      </c>
      <c r="BA90" s="35"/>
      <c r="BB90" s="35"/>
      <c r="BC90" s="35"/>
      <c r="BD90" s="35"/>
      <c r="BE90" s="35"/>
      <c r="BF90" s="35"/>
      <c r="BG90" s="35"/>
      <c r="BH90" s="35"/>
      <c r="BI90" s="35"/>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v>17.550656009312469</v>
      </c>
      <c r="DM90" s="35">
        <v>38.451760358388455</v>
      </c>
      <c r="DN90" s="35">
        <v>73.813582972250259</v>
      </c>
      <c r="DO90" s="35">
        <v>103.84730204578619</v>
      </c>
      <c r="DP90" s="35">
        <v>154.84918507558123</v>
      </c>
      <c r="DQ90" s="35">
        <v>203.60402969391902</v>
      </c>
      <c r="DR90" s="35">
        <v>261.97888964711206</v>
      </c>
      <c r="DS90" s="35">
        <v>575.26998374683149</v>
      </c>
      <c r="DT90" s="35">
        <v>1814.8673565101567</v>
      </c>
      <c r="DU90" s="35">
        <v>673.72092302243527</v>
      </c>
      <c r="DV90" s="35">
        <v>448.29788812380798</v>
      </c>
      <c r="DW90" s="35">
        <v>715.74492221851688</v>
      </c>
      <c r="DX90" s="35">
        <v>1079.7006137934434</v>
      </c>
      <c r="DY90" s="35">
        <v>1408.6082581853334</v>
      </c>
      <c r="DZ90" s="35"/>
      <c r="EA90" s="35"/>
      <c r="EB90" s="35"/>
      <c r="EC90" s="35"/>
      <c r="ED90" s="35"/>
      <c r="EE90" s="35"/>
      <c r="EF90" s="35"/>
      <c r="EG90" s="35"/>
      <c r="EH90" s="35">
        <v>103005.35201953603</v>
      </c>
      <c r="EI90" s="35">
        <v>3566.4108589304224</v>
      </c>
      <c r="EJ90" s="35">
        <v>24413.291076436635</v>
      </c>
      <c r="EK90" s="35">
        <v>33481.786620066021</v>
      </c>
      <c r="EL90" s="35">
        <v>247575.66395037493</v>
      </c>
    </row>
    <row r="91" spans="1:142" x14ac:dyDescent="0.25">
      <c r="A91" s="33" t="s">
        <v>274</v>
      </c>
      <c r="B91" s="35">
        <v>255.06976721117152</v>
      </c>
      <c r="C91" s="35">
        <v>26.338876494857708</v>
      </c>
      <c r="D91" s="35">
        <v>3.3021885194288929</v>
      </c>
      <c r="E91" s="35">
        <v>848.98480545283121</v>
      </c>
      <c r="F91" s="35">
        <v>300.31787040947808</v>
      </c>
      <c r="G91" s="35">
        <v>2130.4893524629897</v>
      </c>
      <c r="H91" s="35">
        <v>425.31544478136084</v>
      </c>
      <c r="I91" s="35">
        <v>28.066621075840999</v>
      </c>
      <c r="J91" s="35">
        <v>33.664494401779862</v>
      </c>
      <c r="K91" s="35">
        <v>2.1908649263521453E-5</v>
      </c>
      <c r="L91" s="35"/>
      <c r="M91" s="35"/>
      <c r="N91" s="35">
        <v>7.9546714759323667</v>
      </c>
      <c r="O91" s="35"/>
      <c r="P91" s="35"/>
      <c r="Q91" s="35"/>
      <c r="R91" s="35"/>
      <c r="S91" s="35"/>
      <c r="T91" s="35">
        <v>0.11862663678454252</v>
      </c>
      <c r="U91" s="35"/>
      <c r="V91" s="35">
        <v>2.6246097274433522</v>
      </c>
      <c r="W91" s="35"/>
      <c r="X91" s="35"/>
      <c r="Y91" s="35">
        <v>35.826705321689936</v>
      </c>
      <c r="Z91" s="35">
        <v>49.238023805840655</v>
      </c>
      <c r="AA91" s="35"/>
      <c r="AB91" s="35">
        <v>80.00884316566912</v>
      </c>
      <c r="AC91" s="35"/>
      <c r="AD91" s="35">
        <v>560.1995664867153</v>
      </c>
      <c r="AE91" s="35">
        <v>3276.4440442386772</v>
      </c>
      <c r="AF91" s="35">
        <v>2408.8702856397572</v>
      </c>
      <c r="AG91" s="35">
        <v>5164.4423461763581</v>
      </c>
      <c r="AH91" s="35">
        <v>1642.625220280006</v>
      </c>
      <c r="AI91" s="35">
        <v>745.60793784119767</v>
      </c>
      <c r="AJ91" s="35">
        <v>2.9301443517747745</v>
      </c>
      <c r="AK91" s="35">
        <v>85.330620553893482</v>
      </c>
      <c r="AL91" s="35">
        <v>4248.9393225864987</v>
      </c>
      <c r="AM91" s="35">
        <v>334.07868096336904</v>
      </c>
      <c r="AN91" s="35">
        <v>14723.141421035372</v>
      </c>
      <c r="AO91" s="35">
        <v>1150.5079623131753</v>
      </c>
      <c r="AP91" s="35">
        <v>78.098718392242858</v>
      </c>
      <c r="AQ91" s="35">
        <v>15.852235509620645</v>
      </c>
      <c r="AR91" s="35">
        <v>207.49573391225942</v>
      </c>
      <c r="AS91" s="35">
        <v>183.54902247335622</v>
      </c>
      <c r="AT91" s="35">
        <v>216.5713538323038</v>
      </c>
      <c r="AU91" s="35">
        <v>677.58586585141359</v>
      </c>
      <c r="AV91" s="35">
        <v>1093.3073742313454</v>
      </c>
      <c r="AW91" s="35">
        <v>14.188015956908028</v>
      </c>
      <c r="AX91" s="35">
        <v>1876.053165788004</v>
      </c>
      <c r="AY91" s="35">
        <v>2154.4726797276717</v>
      </c>
      <c r="AZ91" s="35">
        <v>5794.2826655716317</v>
      </c>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v>344.03412144659291</v>
      </c>
      <c r="DM91" s="35">
        <v>736.12792071395097</v>
      </c>
      <c r="DN91" s="35">
        <v>1056.0901217327778</v>
      </c>
      <c r="DO91" s="35">
        <v>1216.1468731273253</v>
      </c>
      <c r="DP91" s="35">
        <v>1463.6050629326985</v>
      </c>
      <c r="DQ91" s="35">
        <v>1525.7807773314289</v>
      </c>
      <c r="DR91" s="35">
        <v>2181.7645283332031</v>
      </c>
      <c r="DS91" s="35">
        <v>2389.3826922463122</v>
      </c>
      <c r="DT91" s="35">
        <v>3942.8462694942314</v>
      </c>
      <c r="DU91" s="35">
        <v>986.37726590318618</v>
      </c>
      <c r="DV91" s="35">
        <v>939.56000969210595</v>
      </c>
      <c r="DW91" s="35">
        <v>1254.5800362342966</v>
      </c>
      <c r="DX91" s="35">
        <v>1368.3349176806737</v>
      </c>
      <c r="DY91" s="35">
        <v>2508.800922311219</v>
      </c>
      <c r="DZ91" s="35"/>
      <c r="EA91" s="35"/>
      <c r="EB91" s="35"/>
      <c r="EC91" s="35"/>
      <c r="ED91" s="35"/>
      <c r="EE91" s="35"/>
      <c r="EF91" s="35"/>
      <c r="EG91" s="35"/>
      <c r="EH91" s="35">
        <v>40820.308459297346</v>
      </c>
      <c r="EI91" s="35">
        <v>1413.3439525211886</v>
      </c>
      <c r="EJ91" s="35">
        <v>4939.2528036107033</v>
      </c>
      <c r="EK91" s="35">
        <v>12778.862924135319</v>
      </c>
      <c r="EL91" s="35">
        <v>132747.09496530987</v>
      </c>
    </row>
    <row r="92" spans="1:142" x14ac:dyDescent="0.25">
      <c r="A92" s="33" t="s">
        <v>273</v>
      </c>
      <c r="B92" s="35"/>
      <c r="C92" s="35"/>
      <c r="D92" s="35"/>
      <c r="E92" s="35">
        <v>372.45467642534646</v>
      </c>
      <c r="F92" s="35">
        <v>97.775609549932668</v>
      </c>
      <c r="G92" s="35">
        <v>685.41429638888962</v>
      </c>
      <c r="H92" s="35">
        <v>120.23768519244598</v>
      </c>
      <c r="I92" s="35">
        <v>7.9345003590627465</v>
      </c>
      <c r="J92" s="35">
        <v>9.5170324278368561</v>
      </c>
      <c r="K92" s="35">
        <v>3.2245974720746928E-4</v>
      </c>
      <c r="L92" s="35"/>
      <c r="M92" s="35"/>
      <c r="N92" s="35"/>
      <c r="O92" s="35"/>
      <c r="P92" s="35"/>
      <c r="Q92" s="35">
        <v>167.03341640889195</v>
      </c>
      <c r="R92" s="35"/>
      <c r="S92" s="35"/>
      <c r="T92" s="35">
        <v>649.2702526634007</v>
      </c>
      <c r="U92" s="35"/>
      <c r="V92" s="35">
        <v>38.629993983189742</v>
      </c>
      <c r="W92" s="35">
        <v>100.2283751254202</v>
      </c>
      <c r="X92" s="35"/>
      <c r="Y92" s="35">
        <v>0.89718037562906816</v>
      </c>
      <c r="Z92" s="35"/>
      <c r="AA92" s="35"/>
      <c r="AB92" s="35">
        <v>26.237619036833312</v>
      </c>
      <c r="AC92" s="35"/>
      <c r="AD92" s="35">
        <v>176.02060198431235</v>
      </c>
      <c r="AE92" s="35">
        <v>9460.5138008332287</v>
      </c>
      <c r="AF92" s="35">
        <v>8424.6368298009311</v>
      </c>
      <c r="AG92" s="35">
        <v>7732.6410198646527</v>
      </c>
      <c r="AH92" s="35">
        <v>11883.090797118042</v>
      </c>
      <c r="AI92" s="35">
        <v>426.29875512845763</v>
      </c>
      <c r="AJ92" s="35"/>
      <c r="AK92" s="35">
        <v>52.62679671242288</v>
      </c>
      <c r="AL92" s="35">
        <v>6.629966471744102</v>
      </c>
      <c r="AM92" s="35">
        <v>30.250344337961494</v>
      </c>
      <c r="AN92" s="35"/>
      <c r="AO92" s="35">
        <v>2131.3847815497975</v>
      </c>
      <c r="AP92" s="35">
        <v>6.0731755962064575</v>
      </c>
      <c r="AQ92" s="35">
        <v>18.575554966424178</v>
      </c>
      <c r="AR92" s="35">
        <v>243.14656047200631</v>
      </c>
      <c r="AS92" s="35">
        <v>215.08556795714804</v>
      </c>
      <c r="AT92" s="35">
        <v>253.79782324099108</v>
      </c>
      <c r="AU92" s="35">
        <v>794.05616102446845</v>
      </c>
      <c r="AV92" s="35">
        <v>1281.2597113624686</v>
      </c>
      <c r="AW92" s="35">
        <v>726.13529729662218</v>
      </c>
      <c r="AX92" s="35">
        <v>2835.6918788081352</v>
      </c>
      <c r="AY92" s="35">
        <v>21686.662465562487</v>
      </c>
      <c r="AZ92" s="35">
        <v>15700.274106626934</v>
      </c>
      <c r="BA92" s="35"/>
      <c r="BB92" s="35"/>
      <c r="BC92" s="35"/>
      <c r="BD92" s="35"/>
      <c r="BE92" s="35"/>
      <c r="BF92" s="35"/>
      <c r="BG92" s="35"/>
      <c r="BH92" s="35"/>
      <c r="BI92" s="35"/>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v>325.70460070959001</v>
      </c>
      <c r="DM92" s="35">
        <v>555.4723723217345</v>
      </c>
      <c r="DN92" s="35">
        <v>775.51830330236294</v>
      </c>
      <c r="DO92" s="35">
        <v>953.89907878750773</v>
      </c>
      <c r="DP92" s="35">
        <v>1207.1660561941342</v>
      </c>
      <c r="DQ92" s="35">
        <v>1541.7237420126544</v>
      </c>
      <c r="DR92" s="35">
        <v>1799.5619458673841</v>
      </c>
      <c r="DS92" s="35">
        <v>2822.4700438447885</v>
      </c>
      <c r="DT92" s="35">
        <v>4678.8709241920351</v>
      </c>
      <c r="DU92" s="35">
        <v>1628.6892246692337</v>
      </c>
      <c r="DV92" s="35">
        <v>1227.3727586965904</v>
      </c>
      <c r="DW92" s="35">
        <v>1548.566171236258</v>
      </c>
      <c r="DX92" s="35">
        <v>3166.8246917566212</v>
      </c>
      <c r="DY92" s="35">
        <v>3922.6703509889085</v>
      </c>
      <c r="DZ92" s="35"/>
      <c r="EA92" s="35"/>
      <c r="EB92" s="35"/>
      <c r="EC92" s="35"/>
      <c r="ED92" s="35"/>
      <c r="EE92" s="35"/>
      <c r="EF92" s="35"/>
      <c r="EG92" s="35"/>
      <c r="EH92" s="35">
        <v>25499.969296511576</v>
      </c>
      <c r="EI92" s="35">
        <v>1358.3068275792548</v>
      </c>
      <c r="EJ92" s="35">
        <v>-15339.808255033297</v>
      </c>
      <c r="EK92" s="35">
        <v>8532.2197909469487</v>
      </c>
      <c r="EL92" s="35">
        <v>132565.68088169632</v>
      </c>
    </row>
    <row r="93" spans="1:142" x14ac:dyDescent="0.25">
      <c r="A93" s="33" t="s">
        <v>272</v>
      </c>
      <c r="B93" s="35">
        <v>740.90905306293507</v>
      </c>
      <c r="C93" s="35">
        <v>78.068305895543915</v>
      </c>
      <c r="D93" s="35">
        <v>7.4622363335278834</v>
      </c>
      <c r="E93" s="35">
        <v>1374.3825200588551</v>
      </c>
      <c r="F93" s="35">
        <v>422.94140754763214</v>
      </c>
      <c r="G93" s="35">
        <v>4320.3533922930264</v>
      </c>
      <c r="H93" s="35">
        <v>742.86224711452019</v>
      </c>
      <c r="I93" s="35">
        <v>49.021575532083098</v>
      </c>
      <c r="J93" s="35">
        <v>58.798903886822444</v>
      </c>
      <c r="K93" s="35"/>
      <c r="L93" s="35">
        <v>582.19183422969616</v>
      </c>
      <c r="M93" s="35">
        <v>158.80731094805321</v>
      </c>
      <c r="N93" s="35">
        <v>36.15277520628031</v>
      </c>
      <c r="O93" s="35">
        <v>1126.0775283463211</v>
      </c>
      <c r="P93" s="35">
        <v>4.6510789726296817</v>
      </c>
      <c r="Q93" s="35">
        <v>13.061085242717484</v>
      </c>
      <c r="R93" s="35">
        <v>161.84655247231368</v>
      </c>
      <c r="S93" s="35"/>
      <c r="T93" s="35">
        <v>102.19805260182767</v>
      </c>
      <c r="U93" s="35"/>
      <c r="V93" s="35"/>
      <c r="W93" s="35"/>
      <c r="X93" s="35"/>
      <c r="Y93" s="35">
        <v>64.962079305188269</v>
      </c>
      <c r="Z93" s="35">
        <v>104.07247693953121</v>
      </c>
      <c r="AA93" s="35"/>
      <c r="AB93" s="35"/>
      <c r="AC93" s="35">
        <v>29.07933234550115</v>
      </c>
      <c r="AD93" s="35">
        <v>557.3507616726672</v>
      </c>
      <c r="AE93" s="35">
        <v>1080.3701805904398</v>
      </c>
      <c r="AF93" s="35">
        <v>1482.4499420839941</v>
      </c>
      <c r="AG93" s="35">
        <v>37.25366217003473</v>
      </c>
      <c r="AH93" s="35">
        <v>59899.874098440989</v>
      </c>
      <c r="AI93" s="35">
        <v>2041.7654984829176</v>
      </c>
      <c r="AJ93" s="35">
        <v>43.070163673539874</v>
      </c>
      <c r="AK93" s="35">
        <v>78.860722599622889</v>
      </c>
      <c r="AL93" s="35">
        <v>331.19827455623334</v>
      </c>
      <c r="AM93" s="35">
        <v>16.459376571942265</v>
      </c>
      <c r="AN93" s="35"/>
      <c r="AO93" s="35">
        <v>9844.5546710520211</v>
      </c>
      <c r="AP93" s="35"/>
      <c r="AQ93" s="35">
        <v>94.993017022942396</v>
      </c>
      <c r="AR93" s="35">
        <v>1270.8463828665074</v>
      </c>
      <c r="AS93" s="35"/>
      <c r="AT93" s="35">
        <v>9020.8298729006146</v>
      </c>
      <c r="AU93" s="35">
        <v>30358.078622593261</v>
      </c>
      <c r="AV93" s="35"/>
      <c r="AW93" s="35"/>
      <c r="AX93" s="35"/>
      <c r="AY93" s="35">
        <v>15592.993610886249</v>
      </c>
      <c r="AZ93" s="35">
        <v>12351.844764001791</v>
      </c>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v>6.7000818752369877</v>
      </c>
      <c r="DM93" s="35">
        <v>5.7135350072177538</v>
      </c>
      <c r="DN93" s="35">
        <v>41.907213910785202</v>
      </c>
      <c r="DO93" s="35">
        <v>18.897762532640158</v>
      </c>
      <c r="DP93" s="35">
        <v>108.50458204897502</v>
      </c>
      <c r="DQ93" s="35">
        <v>168.71840122448529</v>
      </c>
      <c r="DR93" s="35">
        <v>478.28909962360495</v>
      </c>
      <c r="DS93" s="35">
        <v>2666.0692125938349</v>
      </c>
      <c r="DT93" s="35">
        <v>9946.4889854462308</v>
      </c>
      <c r="DU93" s="35">
        <v>5127.0561780650678</v>
      </c>
      <c r="DV93" s="35">
        <v>7870.031233329878</v>
      </c>
      <c r="DW93" s="35">
        <v>11023.170782839894</v>
      </c>
      <c r="DX93" s="35">
        <v>18688.119769047171</v>
      </c>
      <c r="DY93" s="35">
        <v>49476.092118327906</v>
      </c>
      <c r="DZ93" s="35"/>
      <c r="EA93" s="35"/>
      <c r="EB93" s="35"/>
      <c r="EC93" s="35"/>
      <c r="ED93" s="35"/>
      <c r="EE93" s="35"/>
      <c r="EF93" s="35"/>
      <c r="EG93" s="35"/>
      <c r="EH93" s="35">
        <v>83877.866226771323</v>
      </c>
      <c r="EI93" s="35">
        <v>4467.9221787999923</v>
      </c>
      <c r="EJ93" s="35">
        <v>6203.4698385754973</v>
      </c>
      <c r="EK93" s="35">
        <v>51704.864743426791</v>
      </c>
      <c r="EL93" s="35">
        <v>406160.57531394734</v>
      </c>
    </row>
    <row r="94" spans="1:142" x14ac:dyDescent="0.25">
      <c r="A94" s="33" t="s">
        <v>271</v>
      </c>
      <c r="B94" s="35">
        <v>71.314220834463768</v>
      </c>
      <c r="C94" s="35">
        <v>7.5426291883945558</v>
      </c>
      <c r="D94" s="35">
        <v>0.75356168402195345</v>
      </c>
      <c r="E94" s="35">
        <v>11.455687868346697</v>
      </c>
      <c r="F94" s="35">
        <v>26.975158213037613</v>
      </c>
      <c r="G94" s="35">
        <v>189.06794765194715</v>
      </c>
      <c r="H94" s="35">
        <v>44.899970330631803</v>
      </c>
      <c r="I94" s="35">
        <v>2.9629548351674933</v>
      </c>
      <c r="J94" s="35">
        <v>3.5539146729380144</v>
      </c>
      <c r="K94" s="35"/>
      <c r="L94" s="35"/>
      <c r="M94" s="35"/>
      <c r="N94" s="35"/>
      <c r="O94" s="35"/>
      <c r="P94" s="35"/>
      <c r="Q94" s="35"/>
      <c r="R94" s="35"/>
      <c r="S94" s="35"/>
      <c r="T94" s="35"/>
      <c r="U94" s="35"/>
      <c r="V94" s="35"/>
      <c r="W94" s="35"/>
      <c r="X94" s="35"/>
      <c r="Y94" s="35"/>
      <c r="Z94" s="35"/>
      <c r="AA94" s="35"/>
      <c r="AB94" s="35"/>
      <c r="AC94" s="35"/>
      <c r="AD94" s="35">
        <v>774.6662408531862</v>
      </c>
      <c r="AE94" s="35">
        <v>219.33296274627122</v>
      </c>
      <c r="AF94" s="35">
        <v>1443.3585776722973</v>
      </c>
      <c r="AG94" s="35"/>
      <c r="AH94" s="35">
        <v>433.35998935899886</v>
      </c>
      <c r="AI94" s="35">
        <v>4517.970368871127</v>
      </c>
      <c r="AJ94" s="35">
        <v>56.430804156057356</v>
      </c>
      <c r="AK94" s="35">
        <v>0.91589110208084734</v>
      </c>
      <c r="AL94" s="35"/>
      <c r="AM94" s="35"/>
      <c r="AN94" s="35"/>
      <c r="AO94" s="35">
        <v>4.0104523793251259</v>
      </c>
      <c r="AP94" s="35"/>
      <c r="AQ94" s="35">
        <v>12.488629782406926</v>
      </c>
      <c r="AR94" s="35">
        <v>163.4646685034441</v>
      </c>
      <c r="AS94" s="35">
        <v>144.59948233647884</v>
      </c>
      <c r="AT94" s="35">
        <v>170.600806639567</v>
      </c>
      <c r="AU94" s="35">
        <v>533.75801201912316</v>
      </c>
      <c r="AV94" s="35">
        <v>861.216587600965</v>
      </c>
      <c r="AW94" s="35"/>
      <c r="AX94" s="35">
        <v>0.57412708822122527</v>
      </c>
      <c r="AY94" s="35">
        <v>694.48983203933039</v>
      </c>
      <c r="AZ94" s="35">
        <v>89.229981567050743</v>
      </c>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v>116.75385846236196</v>
      </c>
      <c r="DM94" s="35">
        <v>103.4185610177751</v>
      </c>
      <c r="DN94" s="35">
        <v>115.27913462780805</v>
      </c>
      <c r="DO94" s="35">
        <v>72.979275676688417</v>
      </c>
      <c r="DP94" s="35">
        <v>159.99130777367336</v>
      </c>
      <c r="DQ94" s="35">
        <v>156.65696926573671</v>
      </c>
      <c r="DR94" s="35">
        <v>167.61450980214804</v>
      </c>
      <c r="DS94" s="35">
        <v>253.08612868400724</v>
      </c>
      <c r="DT94" s="35">
        <v>355.98360055050483</v>
      </c>
      <c r="DU94" s="35">
        <v>40.613361824799888</v>
      </c>
      <c r="DV94" s="35">
        <v>148.55185257628571</v>
      </c>
      <c r="DW94" s="35">
        <v>115.68236551492319</v>
      </c>
      <c r="DX94" s="35">
        <v>152.77409223836523</v>
      </c>
      <c r="DY94" s="35">
        <v>1346.5062943709843</v>
      </c>
      <c r="DZ94" s="35"/>
      <c r="EA94" s="35"/>
      <c r="EB94" s="35"/>
      <c r="EC94" s="35"/>
      <c r="ED94" s="35"/>
      <c r="EE94" s="35"/>
      <c r="EF94" s="35"/>
      <c r="EG94" s="35"/>
      <c r="EH94" s="35">
        <v>14107.59500935205</v>
      </c>
      <c r="EI94" s="35">
        <v>751.46924292757296</v>
      </c>
      <c r="EJ94" s="35">
        <v>3739.154556096034</v>
      </c>
      <c r="EK94" s="35">
        <v>11898.229539787812</v>
      </c>
      <c r="EL94" s="35">
        <v>44281.333120544412</v>
      </c>
    </row>
    <row r="95" spans="1:142" x14ac:dyDescent="0.25">
      <c r="A95" s="33" t="s">
        <v>270</v>
      </c>
      <c r="B95" s="35"/>
      <c r="C95" s="35"/>
      <c r="D95" s="35"/>
      <c r="E95" s="35">
        <v>4.0269320434358171</v>
      </c>
      <c r="F95" s="35">
        <v>4.0823158174540106</v>
      </c>
      <c r="G95" s="35">
        <v>30.840848658374792</v>
      </c>
      <c r="H95" s="35">
        <v>5.2311784923457623</v>
      </c>
      <c r="I95" s="35">
        <v>0.34520614364294555</v>
      </c>
      <c r="J95" s="35">
        <v>0.41405733375333759</v>
      </c>
      <c r="K95" s="35"/>
      <c r="L95" s="35"/>
      <c r="M95" s="35"/>
      <c r="N95" s="35"/>
      <c r="O95" s="35">
        <v>16.275136184861946</v>
      </c>
      <c r="P95" s="35"/>
      <c r="Q95" s="35"/>
      <c r="R95" s="35">
        <v>402.75349601913092</v>
      </c>
      <c r="S95" s="35">
        <v>2.1433959259203301</v>
      </c>
      <c r="T95" s="35"/>
      <c r="U95" s="35"/>
      <c r="V95" s="35"/>
      <c r="W95" s="35"/>
      <c r="X95" s="35"/>
      <c r="Y95" s="35">
        <v>120.0467777820098</v>
      </c>
      <c r="Z95" s="35"/>
      <c r="AA95" s="35"/>
      <c r="AB95" s="35">
        <v>5.3550343130223563</v>
      </c>
      <c r="AC95" s="35"/>
      <c r="AD95" s="35">
        <v>16.282831287632117</v>
      </c>
      <c r="AE95" s="35">
        <v>5.8628892450465937</v>
      </c>
      <c r="AF95" s="35">
        <v>18.189877126571634</v>
      </c>
      <c r="AG95" s="35">
        <v>7.8542020556095284</v>
      </c>
      <c r="AH95" s="35"/>
      <c r="AI95" s="35"/>
      <c r="AJ95" s="35">
        <v>242.64818071991075</v>
      </c>
      <c r="AK95" s="35">
        <v>15.286726609759885</v>
      </c>
      <c r="AL95" s="35"/>
      <c r="AM95" s="35">
        <v>10.681354706912931</v>
      </c>
      <c r="AN95" s="35">
        <v>256.87073813340703</v>
      </c>
      <c r="AO95" s="35">
        <v>1377.5284206500958</v>
      </c>
      <c r="AP95" s="35">
        <v>23.613879001022081</v>
      </c>
      <c r="AQ95" s="35">
        <v>1.5583659121736859</v>
      </c>
      <c r="AR95" s="35">
        <v>20.39742909494171</v>
      </c>
      <c r="AS95" s="35">
        <v>18.043226735405483</v>
      </c>
      <c r="AT95" s="35">
        <v>21.287265075330478</v>
      </c>
      <c r="AU95" s="35">
        <v>66.601374939204362</v>
      </c>
      <c r="AV95" s="35">
        <v>107.46023692080951</v>
      </c>
      <c r="AW95" s="35">
        <v>75.181805220517575</v>
      </c>
      <c r="AX95" s="35">
        <v>1690.3041371384456</v>
      </c>
      <c r="AY95" s="35">
        <v>190.11270036424358</v>
      </c>
      <c r="AZ95" s="35">
        <v>1043.9720881386888</v>
      </c>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v>238.39969736144033</v>
      </c>
      <c r="DM95" s="35">
        <v>420.20147667044682</v>
      </c>
      <c r="DN95" s="35">
        <v>750.0769638642472</v>
      </c>
      <c r="DO95" s="35">
        <v>914.54056044923607</v>
      </c>
      <c r="DP95" s="35">
        <v>1298.801300133789</v>
      </c>
      <c r="DQ95" s="35">
        <v>1306.4865149274799</v>
      </c>
      <c r="DR95" s="35">
        <v>1613.8951066751224</v>
      </c>
      <c r="DS95" s="35">
        <v>2121.1192830587329</v>
      </c>
      <c r="DT95" s="35">
        <v>3012.6041991268949</v>
      </c>
      <c r="DU95" s="35">
        <v>637.87282787635786</v>
      </c>
      <c r="DV95" s="35">
        <v>959.11480625264414</v>
      </c>
      <c r="DW95" s="35">
        <v>908.39238861428328</v>
      </c>
      <c r="DX95" s="35">
        <v>1660.0063954372686</v>
      </c>
      <c r="DY95" s="35">
        <v>1690.747254612033</v>
      </c>
      <c r="DZ95" s="35"/>
      <c r="EA95" s="35"/>
      <c r="EB95" s="35"/>
      <c r="EC95" s="35"/>
      <c r="ED95" s="35"/>
      <c r="EE95" s="35"/>
      <c r="EF95" s="35"/>
      <c r="EG95" s="35"/>
      <c r="EH95" s="35">
        <v>5665.1383095833507</v>
      </c>
      <c r="EI95" s="35">
        <v>301.76491413032988</v>
      </c>
      <c r="EJ95" s="35">
        <v>-528.65465315569531</v>
      </c>
      <c r="EK95" s="35">
        <v>5220.4142318530085</v>
      </c>
      <c r="EL95" s="35">
        <v>33992.173685260655</v>
      </c>
    </row>
    <row r="96" spans="1:142" x14ac:dyDescent="0.25">
      <c r="A96" s="33" t="s">
        <v>269</v>
      </c>
      <c r="B96" s="35"/>
      <c r="C96" s="35"/>
      <c r="D96" s="35"/>
      <c r="E96" s="35">
        <v>6.5869667381608998</v>
      </c>
      <c r="F96" s="35">
        <v>2.1075631728626942</v>
      </c>
      <c r="G96" s="35">
        <v>14.88082408968066</v>
      </c>
      <c r="H96" s="35">
        <v>3.8131584825768616</v>
      </c>
      <c r="I96" s="35">
        <v>0.25163082024361932</v>
      </c>
      <c r="J96" s="35">
        <v>0.30181845960425319</v>
      </c>
      <c r="K96" s="35">
        <v>2.8787262103216851E-4</v>
      </c>
      <c r="L96" s="35">
        <v>8857.7032659302167</v>
      </c>
      <c r="M96" s="35">
        <v>1.5049499995078208</v>
      </c>
      <c r="N96" s="35">
        <v>1.0528799930000745</v>
      </c>
      <c r="O96" s="35">
        <v>4961.2720140291449</v>
      </c>
      <c r="P96" s="35">
        <v>1111.9337237303625</v>
      </c>
      <c r="Q96" s="35">
        <v>0.65627721561267638</v>
      </c>
      <c r="R96" s="35">
        <v>1178.3896143355876</v>
      </c>
      <c r="S96" s="35">
        <v>8.1868702925225403</v>
      </c>
      <c r="T96" s="35">
        <v>114.9471824957977</v>
      </c>
      <c r="U96" s="35">
        <v>0.27977837366923342</v>
      </c>
      <c r="V96" s="35">
        <v>34.486529604710128</v>
      </c>
      <c r="W96" s="35">
        <v>11.584594139666653</v>
      </c>
      <c r="X96" s="35">
        <v>0.42948260148994177</v>
      </c>
      <c r="Y96" s="35">
        <v>54.235655894540152</v>
      </c>
      <c r="Z96" s="35">
        <v>0.75708676402790476</v>
      </c>
      <c r="AA96" s="35">
        <v>10.793564216026068</v>
      </c>
      <c r="AB96" s="35">
        <v>7108.3241489968241</v>
      </c>
      <c r="AC96" s="35">
        <v>680.97500767804013</v>
      </c>
      <c r="AD96" s="35">
        <v>1141.9912237506358</v>
      </c>
      <c r="AE96" s="35">
        <v>203.874744569364</v>
      </c>
      <c r="AF96" s="35">
        <v>91.540199012494611</v>
      </c>
      <c r="AG96" s="35">
        <v>13.776145405355704</v>
      </c>
      <c r="AH96" s="35">
        <v>5.3387099246083878</v>
      </c>
      <c r="AI96" s="35">
        <v>36.766732490394553</v>
      </c>
      <c r="AJ96" s="35">
        <v>41.522198024981918</v>
      </c>
      <c r="AK96" s="35">
        <v>10079.710529993126</v>
      </c>
      <c r="AL96" s="35">
        <v>8.2583644242039629</v>
      </c>
      <c r="AM96" s="35">
        <v>0.89186401373209745</v>
      </c>
      <c r="AN96" s="35">
        <v>11.074512543782047</v>
      </c>
      <c r="AO96" s="35">
        <v>446.16359086128364</v>
      </c>
      <c r="AP96" s="35">
        <v>11.597146963252424</v>
      </c>
      <c r="AQ96" s="35">
        <v>4.9243700942941233</v>
      </c>
      <c r="AR96" s="35">
        <v>65.067977525098712</v>
      </c>
      <c r="AS96" s="35">
        <v>60.025360627306121</v>
      </c>
      <c r="AT96" s="35">
        <v>71.230644410478945</v>
      </c>
      <c r="AU96" s="35">
        <v>222.85901165581271</v>
      </c>
      <c r="AV96" s="35">
        <v>345.77740989400405</v>
      </c>
      <c r="AW96" s="35">
        <v>220.79692197492059</v>
      </c>
      <c r="AX96" s="35">
        <v>2357.9217693749633</v>
      </c>
      <c r="AY96" s="35">
        <v>2950.1597373482209</v>
      </c>
      <c r="AZ96" s="35">
        <v>1302.3484377270756</v>
      </c>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v>637.90194570564449</v>
      </c>
      <c r="DM96" s="35">
        <v>506.35551329025071</v>
      </c>
      <c r="DN96" s="35">
        <v>611.98239489469699</v>
      </c>
      <c r="DO96" s="35">
        <v>596.079910289547</v>
      </c>
      <c r="DP96" s="35">
        <v>609.97891213589912</v>
      </c>
      <c r="DQ96" s="35">
        <v>984.64524135041404</v>
      </c>
      <c r="DR96" s="35">
        <v>852.80338719068641</v>
      </c>
      <c r="DS96" s="35">
        <v>1684.5428805440322</v>
      </c>
      <c r="DT96" s="35">
        <v>3126.7345250545586</v>
      </c>
      <c r="DU96" s="35">
        <v>928.56759620214484</v>
      </c>
      <c r="DV96" s="35">
        <v>1351.1959169372731</v>
      </c>
      <c r="DW96" s="35">
        <v>1526.5252436911103</v>
      </c>
      <c r="DX96" s="35">
        <v>1922.1203919857453</v>
      </c>
      <c r="DY96" s="35">
        <v>2700.1184643159413</v>
      </c>
      <c r="DZ96" s="35"/>
      <c r="EA96" s="35"/>
      <c r="EB96" s="35"/>
      <c r="EC96" s="35"/>
      <c r="ED96" s="35"/>
      <c r="EE96" s="35"/>
      <c r="EF96" s="35"/>
      <c r="EG96" s="35"/>
      <c r="EH96" s="35">
        <v>1014.7422253833794</v>
      </c>
      <c r="EI96" s="35">
        <v>54.052272649589767</v>
      </c>
      <c r="EJ96" s="35">
        <v>168.15208258657276</v>
      </c>
      <c r="EK96" s="35">
        <v>16627.777071366345</v>
      </c>
      <c r="EL96" s="35">
        <v>79763.348454109713</v>
      </c>
    </row>
    <row r="97" spans="1:142" x14ac:dyDescent="0.25">
      <c r="A97" s="33" t="s">
        <v>268</v>
      </c>
      <c r="B97" s="35">
        <v>2928.276240743352</v>
      </c>
      <c r="C97" s="35">
        <v>310.98349830120657</v>
      </c>
      <c r="D97" s="35">
        <v>32.072980804026095</v>
      </c>
      <c r="E97" s="35">
        <v>2299.4065402485053</v>
      </c>
      <c r="F97" s="35">
        <v>12716.842367257534</v>
      </c>
      <c r="G97" s="35">
        <v>14100.088877420878</v>
      </c>
      <c r="H97" s="35">
        <v>1519.5785182943339</v>
      </c>
      <c r="I97" s="35">
        <v>100.27718248012253</v>
      </c>
      <c r="J97" s="35">
        <v>120.27741562143811</v>
      </c>
      <c r="K97" s="35">
        <v>9.6030335046987242E-2</v>
      </c>
      <c r="L97" s="35">
        <v>2748.3118520135472</v>
      </c>
      <c r="M97" s="35">
        <v>298.98299149021295</v>
      </c>
      <c r="N97" s="35">
        <v>913.34747602861694</v>
      </c>
      <c r="O97" s="35">
        <v>330.52449700265288</v>
      </c>
      <c r="P97" s="35">
        <v>44.615021051718159</v>
      </c>
      <c r="Q97" s="35">
        <v>84.592605041785745</v>
      </c>
      <c r="R97" s="35">
        <v>784.21739543960587</v>
      </c>
      <c r="S97" s="35">
        <v>2311.8690435368367</v>
      </c>
      <c r="T97" s="35">
        <v>350.02369387170279</v>
      </c>
      <c r="U97" s="35">
        <v>8234.3412687073032</v>
      </c>
      <c r="V97" s="35">
        <v>3526.2753519479688</v>
      </c>
      <c r="W97" s="35">
        <v>1553.6440829499759</v>
      </c>
      <c r="X97" s="35">
        <v>93.383347325114443</v>
      </c>
      <c r="Y97" s="35">
        <v>135.22627630013321</v>
      </c>
      <c r="Z97" s="35">
        <v>184.21530410448563</v>
      </c>
      <c r="AA97" s="35">
        <v>296.13709178738429</v>
      </c>
      <c r="AB97" s="35">
        <v>7087.8058565212632</v>
      </c>
      <c r="AC97" s="35">
        <v>12745.476812735662</v>
      </c>
      <c r="AD97" s="35">
        <v>897.81539692223498</v>
      </c>
      <c r="AE97" s="35">
        <v>894.295772147197</v>
      </c>
      <c r="AF97" s="35">
        <v>488.7998887399205</v>
      </c>
      <c r="AG97" s="35">
        <v>161.08795654264171</v>
      </c>
      <c r="AH97" s="35">
        <v>1878.910129076532</v>
      </c>
      <c r="AI97" s="35">
        <v>268.17866488510259</v>
      </c>
      <c r="AJ97" s="35">
        <v>270.02116275636928</v>
      </c>
      <c r="AK97" s="35">
        <v>457.68770119588282</v>
      </c>
      <c r="AL97" s="35"/>
      <c r="AM97" s="35">
        <v>426.38778983994456</v>
      </c>
      <c r="AN97" s="35">
        <v>954.47580263474447</v>
      </c>
      <c r="AO97" s="35">
        <v>4365.4058988409988</v>
      </c>
      <c r="AP97" s="35">
        <v>1065.9680405813053</v>
      </c>
      <c r="AQ97" s="35">
        <v>4.8560585192898778</v>
      </c>
      <c r="AR97" s="35">
        <v>35.318420018151045</v>
      </c>
      <c r="AS97" s="35">
        <v>279.1238290757326</v>
      </c>
      <c r="AT97" s="35">
        <v>653.92231871115587</v>
      </c>
      <c r="AU97" s="35">
        <v>2045.9239538510544</v>
      </c>
      <c r="AV97" s="35">
        <v>518.62145555445147</v>
      </c>
      <c r="AW97" s="35">
        <v>700.3691352359607</v>
      </c>
      <c r="AX97" s="35">
        <v>15677.435628841777</v>
      </c>
      <c r="AY97" s="35">
        <v>1697.9866178429345</v>
      </c>
      <c r="AZ97" s="35">
        <v>4421.3276406831565</v>
      </c>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v>627.55493545423042</v>
      </c>
      <c r="DM97" s="35">
        <v>949.52004321866048</v>
      </c>
      <c r="DN97" s="35">
        <v>1149.6780820424701</v>
      </c>
      <c r="DO97" s="35">
        <v>1368.0698172441012</v>
      </c>
      <c r="DP97" s="35">
        <v>1654.6003972614956</v>
      </c>
      <c r="DQ97" s="35">
        <v>1963.2305231755574</v>
      </c>
      <c r="DR97" s="35">
        <v>2486.1871254188277</v>
      </c>
      <c r="DS97" s="35">
        <v>4063.6299912018089</v>
      </c>
      <c r="DT97" s="35">
        <v>6164.0294592280607</v>
      </c>
      <c r="DU97" s="35">
        <v>1577.4428657829803</v>
      </c>
      <c r="DV97" s="35">
        <v>1403.3224075319108</v>
      </c>
      <c r="DW97" s="35">
        <v>1531.8479942452002</v>
      </c>
      <c r="DX97" s="35">
        <v>1842.89812326879</v>
      </c>
      <c r="DY97" s="35">
        <v>2800.4810427963644</v>
      </c>
      <c r="DZ97" s="35"/>
      <c r="EA97" s="35"/>
      <c r="EB97" s="35"/>
      <c r="EC97" s="35"/>
      <c r="ED97" s="35"/>
      <c r="EE97" s="35"/>
      <c r="EF97" s="35"/>
      <c r="EG97" s="35"/>
      <c r="EH97" s="35"/>
      <c r="EI97" s="35"/>
      <c r="EJ97" s="35"/>
      <c r="EK97" s="35">
        <v>3257.6276363081734</v>
      </c>
      <c r="EL97" s="35">
        <v>146854.92932603759</v>
      </c>
    </row>
    <row r="98" spans="1:142" x14ac:dyDescent="0.25">
      <c r="A98" s="33" t="s">
        <v>267</v>
      </c>
      <c r="B98" s="35">
        <v>688.07872182221138</v>
      </c>
      <c r="C98" s="35">
        <v>74.233989460114685</v>
      </c>
      <c r="D98" s="35">
        <v>8.7899771628640497</v>
      </c>
      <c r="E98" s="35">
        <v>526.06549084781727</v>
      </c>
      <c r="F98" s="35">
        <v>272.32956912457763</v>
      </c>
      <c r="G98" s="35">
        <v>4972.9348543427614</v>
      </c>
      <c r="H98" s="35">
        <v>412.05031905765043</v>
      </c>
      <c r="I98" s="35">
        <v>27.191253717850596</v>
      </c>
      <c r="J98" s="35">
        <v>32.614535468606583</v>
      </c>
      <c r="K98" s="35">
        <v>9.2196776200260185E-4</v>
      </c>
      <c r="L98" s="35">
        <v>350.84141760224259</v>
      </c>
      <c r="M98" s="35">
        <v>1370.3679516961179</v>
      </c>
      <c r="N98" s="35">
        <v>31.699206132065928</v>
      </c>
      <c r="O98" s="35">
        <v>15.499654121229318</v>
      </c>
      <c r="P98" s="35">
        <v>2.0905562214358424</v>
      </c>
      <c r="Q98" s="35">
        <v>4.4269156932230898</v>
      </c>
      <c r="R98" s="35">
        <v>30.125405234060562</v>
      </c>
      <c r="S98" s="35">
        <v>74.262373601102809</v>
      </c>
      <c r="T98" s="35">
        <v>16.53448314872594</v>
      </c>
      <c r="U98" s="35">
        <v>66.96982738961951</v>
      </c>
      <c r="V98" s="35">
        <v>110.44978298001485</v>
      </c>
      <c r="W98" s="35">
        <v>61.54692698332444</v>
      </c>
      <c r="X98" s="35">
        <v>17.517104883341243</v>
      </c>
      <c r="Y98" s="35">
        <v>25.403842441542768</v>
      </c>
      <c r="Z98" s="35">
        <v>16.861913509530655</v>
      </c>
      <c r="AA98" s="35">
        <v>34.585549665035629</v>
      </c>
      <c r="AB98" s="35">
        <v>395.52622952583744</v>
      </c>
      <c r="AC98" s="35">
        <v>199.19744305807887</v>
      </c>
      <c r="AD98" s="35">
        <v>40.856127668021252</v>
      </c>
      <c r="AE98" s="35">
        <v>23.806819236026524</v>
      </c>
      <c r="AF98" s="35">
        <v>22.968670316702028</v>
      </c>
      <c r="AG98" s="35">
        <v>7.8677376787724729</v>
      </c>
      <c r="AH98" s="35">
        <v>55.73401574844906</v>
      </c>
      <c r="AI98" s="35">
        <v>5.274760149974278</v>
      </c>
      <c r="AJ98" s="35">
        <v>10.928786335513854</v>
      </c>
      <c r="AK98" s="35">
        <v>24.686894070870576</v>
      </c>
      <c r="AL98" s="35">
        <v>26.804245918359381</v>
      </c>
      <c r="AM98" s="35">
        <v>17457.282324530894</v>
      </c>
      <c r="AN98" s="35">
        <v>112.45428834340542</v>
      </c>
      <c r="AO98" s="35">
        <v>3014.5570062200318</v>
      </c>
      <c r="AP98" s="35">
        <v>130.47392180591513</v>
      </c>
      <c r="AQ98" s="35">
        <v>0.82840443727295932</v>
      </c>
      <c r="AR98" s="35">
        <v>6.0250487043922583</v>
      </c>
      <c r="AS98" s="35">
        <v>47.616318659738781</v>
      </c>
      <c r="AT98" s="35">
        <v>111.57051997481084</v>
      </c>
      <c r="AU98" s="35">
        <v>349.07020731450189</v>
      </c>
      <c r="AV98" s="35">
        <v>81.990244718058221</v>
      </c>
      <c r="AW98" s="35">
        <v>84.067688312466942</v>
      </c>
      <c r="AX98" s="35">
        <v>2639.3613621446448</v>
      </c>
      <c r="AY98" s="35">
        <v>549.5233115490048</v>
      </c>
      <c r="AZ98" s="35">
        <v>668.01803739640593</v>
      </c>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v>228.75735037727151</v>
      </c>
      <c r="DM98" s="35">
        <v>472.43714325282644</v>
      </c>
      <c r="DN98" s="35">
        <v>506.98765396818311</v>
      </c>
      <c r="DO98" s="35">
        <v>754.68474183825208</v>
      </c>
      <c r="DP98" s="35">
        <v>923.95181507765358</v>
      </c>
      <c r="DQ98" s="35">
        <v>1179.039229125488</v>
      </c>
      <c r="DR98" s="35">
        <v>1521.4631444631166</v>
      </c>
      <c r="DS98" s="35">
        <v>1890.3981396334843</v>
      </c>
      <c r="DT98" s="35">
        <v>3118.3094599134124</v>
      </c>
      <c r="DU98" s="35">
        <v>1138.4239286711443</v>
      </c>
      <c r="DV98" s="35">
        <v>839.07838631325342</v>
      </c>
      <c r="DW98" s="35">
        <v>837.14328529283057</v>
      </c>
      <c r="DX98" s="35">
        <v>1146.4544722643864</v>
      </c>
      <c r="DY98" s="35">
        <v>1465.5568838668623</v>
      </c>
      <c r="DZ98" s="35"/>
      <c r="EA98" s="35"/>
      <c r="EB98" s="35"/>
      <c r="EC98" s="35"/>
      <c r="ED98" s="35"/>
      <c r="EE98" s="35"/>
      <c r="EF98" s="35"/>
      <c r="EG98" s="35"/>
      <c r="EH98" s="35"/>
      <c r="EI98" s="35"/>
      <c r="EJ98" s="35">
        <v>600.15141664519479</v>
      </c>
      <c r="EK98" s="35">
        <v>614.67492791063557</v>
      </c>
      <c r="EL98" s="35">
        <v>52547.474936706989</v>
      </c>
    </row>
    <row r="99" spans="1:142" x14ac:dyDescent="0.25">
      <c r="A99" s="33" t="s">
        <v>266</v>
      </c>
      <c r="B99" s="35">
        <v>35.233769525579959</v>
      </c>
      <c r="C99" s="35">
        <v>3.7321720861640522</v>
      </c>
      <c r="D99" s="35">
        <v>0.40792640581142797</v>
      </c>
      <c r="E99" s="35">
        <v>40.447913695322363</v>
      </c>
      <c r="F99" s="35">
        <v>58.923730117492497</v>
      </c>
      <c r="G99" s="35">
        <v>196.50887723177107</v>
      </c>
      <c r="H99" s="35">
        <v>14.486975722720253</v>
      </c>
      <c r="I99" s="35">
        <v>0.95599739706963982</v>
      </c>
      <c r="J99" s="35">
        <v>1.1466705926161316</v>
      </c>
      <c r="K99" s="35">
        <v>3.3827633711735723E-4</v>
      </c>
      <c r="L99" s="35">
        <v>67.119864242424512</v>
      </c>
      <c r="M99" s="35">
        <v>32.385527491582152</v>
      </c>
      <c r="N99" s="35">
        <v>2.3031543089948494</v>
      </c>
      <c r="O99" s="35">
        <v>11.945934478810283</v>
      </c>
      <c r="P99" s="35">
        <v>0.45467936941203146</v>
      </c>
      <c r="Q99" s="35">
        <v>8.77740721302842</v>
      </c>
      <c r="R99" s="35">
        <v>35.513118887509563</v>
      </c>
      <c r="S99" s="35">
        <v>5.9376783362136472</v>
      </c>
      <c r="T99" s="35">
        <v>167.27015893374099</v>
      </c>
      <c r="U99" s="35">
        <v>284.73498240681488</v>
      </c>
      <c r="V99" s="35">
        <v>40.524787917455406</v>
      </c>
      <c r="W99" s="35">
        <v>11.34937211931013</v>
      </c>
      <c r="X99" s="35">
        <v>0.87315352658356338</v>
      </c>
      <c r="Y99" s="35">
        <v>9.1742071443542628</v>
      </c>
      <c r="Z99" s="35">
        <v>0.77674155704081382</v>
      </c>
      <c r="AA99" s="35">
        <v>4.1523033080832841</v>
      </c>
      <c r="AB99" s="35">
        <v>54.171655012329637</v>
      </c>
      <c r="AC99" s="35">
        <v>24.012894082366003</v>
      </c>
      <c r="AD99" s="35">
        <v>40.386092735213929</v>
      </c>
      <c r="AE99" s="35">
        <v>38.270381676404398</v>
      </c>
      <c r="AF99" s="35">
        <v>480.86332983783382</v>
      </c>
      <c r="AG99" s="35">
        <v>10.632431755378299</v>
      </c>
      <c r="AH99" s="35">
        <v>39.783950731377516</v>
      </c>
      <c r="AI99" s="35">
        <v>7.8311455848013471</v>
      </c>
      <c r="AJ99" s="35">
        <v>1.2364652525982129</v>
      </c>
      <c r="AK99" s="35">
        <v>25.252029838260167</v>
      </c>
      <c r="AL99" s="35">
        <v>4.552451162251268</v>
      </c>
      <c r="AM99" s="35">
        <v>4062.7041893959167</v>
      </c>
      <c r="AN99" s="35">
        <v>1418.4907439268331</v>
      </c>
      <c r="AO99" s="35">
        <v>59.643156530603058</v>
      </c>
      <c r="AP99" s="35">
        <v>61.806966506693385</v>
      </c>
      <c r="AQ99" s="35">
        <v>1.3574921318987045</v>
      </c>
      <c r="AR99" s="35">
        <v>13.951938526950988</v>
      </c>
      <c r="AS99" s="35">
        <v>131.22012058676086</v>
      </c>
      <c r="AT99" s="35">
        <v>208.59663173044768</v>
      </c>
      <c r="AU99" s="35">
        <v>652.63538701525738</v>
      </c>
      <c r="AV99" s="35">
        <v>492.73958639087061</v>
      </c>
      <c r="AW99" s="35">
        <v>11.605226620813877</v>
      </c>
      <c r="AX99" s="35">
        <v>90278.119832200566</v>
      </c>
      <c r="AY99" s="35">
        <v>191.47875321890683</v>
      </c>
      <c r="AZ99" s="35">
        <v>224.34170460196191</v>
      </c>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v>10.027876534175835</v>
      </c>
      <c r="DM99" s="35">
        <v>20.61368883756986</v>
      </c>
      <c r="DN99" s="35">
        <v>50.36798872119892</v>
      </c>
      <c r="DO99" s="35">
        <v>44.124149804682979</v>
      </c>
      <c r="DP99" s="35">
        <v>66.874540165535251</v>
      </c>
      <c r="DQ99" s="35">
        <v>94.265956986105053</v>
      </c>
      <c r="DR99" s="35">
        <v>191.49314822308256</v>
      </c>
      <c r="DS99" s="35">
        <v>266.51108257851683</v>
      </c>
      <c r="DT99" s="35">
        <v>703.29313458219735</v>
      </c>
      <c r="DU99" s="35">
        <v>158.42603242167391</v>
      </c>
      <c r="DV99" s="35">
        <v>226.5344201917394</v>
      </c>
      <c r="DW99" s="35">
        <v>205.06547187291437</v>
      </c>
      <c r="DX99" s="35">
        <v>350.41271968656855</v>
      </c>
      <c r="DY99" s="35">
        <v>404.7020142858961</v>
      </c>
      <c r="DZ99" s="35"/>
      <c r="EA99" s="35"/>
      <c r="EB99" s="35"/>
      <c r="EC99" s="35"/>
      <c r="ED99" s="35"/>
      <c r="EE99" s="35"/>
      <c r="EF99" s="35"/>
      <c r="EG99" s="35"/>
      <c r="EH99" s="35">
        <v>262214.4875590154</v>
      </c>
      <c r="EI99" s="35">
        <v>13967.378728974796</v>
      </c>
      <c r="EJ99" s="35">
        <v>250.4566248036862</v>
      </c>
      <c r="EK99" s="35">
        <v>730.95663662462596</v>
      </c>
      <c r="EL99" s="35">
        <v>379526.81377365591</v>
      </c>
    </row>
    <row r="100" spans="1:142" x14ac:dyDescent="0.25">
      <c r="A100" s="33" t="s">
        <v>265</v>
      </c>
      <c r="B100" s="35">
        <v>99.512831106020968</v>
      </c>
      <c r="C100" s="35">
        <v>10.437447458604989</v>
      </c>
      <c r="D100" s="35">
        <v>0.9533944655282518</v>
      </c>
      <c r="E100" s="35">
        <v>19.289348375119282</v>
      </c>
      <c r="F100" s="35">
        <v>21.127108776419192</v>
      </c>
      <c r="G100" s="35">
        <v>39.199880361905038</v>
      </c>
      <c r="H100" s="35">
        <v>6.8458536533812646</v>
      </c>
      <c r="I100" s="35">
        <v>0.45175876584704289</v>
      </c>
      <c r="J100" s="35">
        <v>0.54186182236605585</v>
      </c>
      <c r="K100" s="35">
        <v>5.2118632069377078E-4</v>
      </c>
      <c r="L100" s="35">
        <v>161.83538120219299</v>
      </c>
      <c r="M100" s="35">
        <v>107.79330288417442</v>
      </c>
      <c r="N100" s="35">
        <v>29.041153693313191</v>
      </c>
      <c r="O100" s="35">
        <v>18.624212675072663</v>
      </c>
      <c r="P100" s="35">
        <v>4.4860097622988748</v>
      </c>
      <c r="Q100" s="35">
        <v>7.3547552306125148</v>
      </c>
      <c r="R100" s="35">
        <v>29.39760909889355</v>
      </c>
      <c r="S100" s="35">
        <v>123.23327839267833</v>
      </c>
      <c r="T100" s="35">
        <v>61.243678381985177</v>
      </c>
      <c r="U100" s="35">
        <v>20.819981973209497</v>
      </c>
      <c r="V100" s="35">
        <v>62.437016114037341</v>
      </c>
      <c r="W100" s="35">
        <v>96.11106361542322</v>
      </c>
      <c r="X100" s="35">
        <v>7.550611559356148</v>
      </c>
      <c r="Y100" s="35">
        <v>28.066357173951936</v>
      </c>
      <c r="Z100" s="35">
        <v>4.9740278549112551</v>
      </c>
      <c r="AA100" s="35">
        <v>24.756908396825146</v>
      </c>
      <c r="AB100" s="35">
        <v>137.52355263064302</v>
      </c>
      <c r="AC100" s="35">
        <v>29.342863432730894</v>
      </c>
      <c r="AD100" s="35">
        <v>50.327192873413878</v>
      </c>
      <c r="AE100" s="35">
        <v>48.608835000525673</v>
      </c>
      <c r="AF100" s="35">
        <v>35.54913378923257</v>
      </c>
      <c r="AG100" s="35">
        <v>11.535290712979663</v>
      </c>
      <c r="AH100" s="35">
        <v>142.24090773976562</v>
      </c>
      <c r="AI100" s="35">
        <v>21.587594232129131</v>
      </c>
      <c r="AJ100" s="35">
        <v>20.718290350528431</v>
      </c>
      <c r="AK100" s="35">
        <v>13.131016371253365</v>
      </c>
      <c r="AL100" s="35">
        <v>35.923166192267566</v>
      </c>
      <c r="AM100" s="35">
        <v>6.2393101718557356</v>
      </c>
      <c r="AN100" s="35">
        <v>72.147597767951922</v>
      </c>
      <c r="AO100" s="35">
        <v>1428.9442172322017</v>
      </c>
      <c r="AP100" s="35">
        <v>82.214584839786838</v>
      </c>
      <c r="AQ100" s="35">
        <v>8.9697523535864541</v>
      </c>
      <c r="AR100" s="35">
        <v>103.54201549355656</v>
      </c>
      <c r="AS100" s="35">
        <v>171.29507776856741</v>
      </c>
      <c r="AT100" s="35">
        <v>364.52518303876184</v>
      </c>
      <c r="AU100" s="35">
        <v>1140.4883767094148</v>
      </c>
      <c r="AV100" s="35">
        <v>1070.4548689424341</v>
      </c>
      <c r="AW100" s="35">
        <v>73.87700701656496</v>
      </c>
      <c r="AX100" s="35">
        <v>44806.50613729949</v>
      </c>
      <c r="AY100" s="35">
        <v>208.56180510463932</v>
      </c>
      <c r="AZ100" s="35">
        <v>372.98460299460874</v>
      </c>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v>651295.79845068359</v>
      </c>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v>255.14911535385843</v>
      </c>
      <c r="EK100" s="35">
        <v>4800.5302675603534</v>
      </c>
      <c r="EL100" s="35">
        <v>707794.80156763713</v>
      </c>
    </row>
    <row r="101" spans="1:142" x14ac:dyDescent="0.25">
      <c r="A101" s="33" t="s">
        <v>264</v>
      </c>
      <c r="B101" s="35">
        <v>6.8302973710460586</v>
      </c>
      <c r="C101" s="35"/>
      <c r="D101" s="35"/>
      <c r="E101" s="35">
        <v>55.068768027799194</v>
      </c>
      <c r="F101" s="35">
        <v>20.914929418186667</v>
      </c>
      <c r="G101" s="35">
        <v>147.58441460443487</v>
      </c>
      <c r="H101" s="35">
        <v>24.754199663202417</v>
      </c>
      <c r="I101" s="35">
        <v>1.633532829591851</v>
      </c>
      <c r="J101" s="35">
        <v>1.9593401232132708</v>
      </c>
      <c r="K101" s="35">
        <v>5.9119331773188285E-4</v>
      </c>
      <c r="L101" s="35">
        <v>108.76369821391245</v>
      </c>
      <c r="M101" s="35">
        <v>53.342188109180363</v>
      </c>
      <c r="N101" s="35">
        <v>15.58029083841169</v>
      </c>
      <c r="O101" s="35">
        <v>13.190090354079041</v>
      </c>
      <c r="P101" s="35">
        <v>3.6013925483835556</v>
      </c>
      <c r="Q101" s="35">
        <v>5.8560687207653306</v>
      </c>
      <c r="R101" s="35">
        <v>33.760294363998078</v>
      </c>
      <c r="S101" s="35">
        <v>47.942652282366979</v>
      </c>
      <c r="T101" s="35">
        <v>83.507969839262614</v>
      </c>
      <c r="U101" s="35">
        <v>34.608675514970408</v>
      </c>
      <c r="V101" s="35">
        <v>70.823705918837916</v>
      </c>
      <c r="W101" s="35">
        <v>97.3020661884199</v>
      </c>
      <c r="X101" s="35">
        <v>13.847801375967183</v>
      </c>
      <c r="Y101" s="35">
        <v>112.72312002445304</v>
      </c>
      <c r="Z101" s="35">
        <v>7.8455864167045224</v>
      </c>
      <c r="AA101" s="35">
        <v>40.921052779058655</v>
      </c>
      <c r="AB101" s="35">
        <v>30.153336774298829</v>
      </c>
      <c r="AC101" s="35">
        <v>10.918515319943934</v>
      </c>
      <c r="AD101" s="35">
        <v>67.258316864963291</v>
      </c>
      <c r="AE101" s="35">
        <v>115.22894375126199</v>
      </c>
      <c r="AF101" s="35">
        <v>72.489083446518407</v>
      </c>
      <c r="AG101" s="35">
        <v>38.209848574020953</v>
      </c>
      <c r="AH101" s="35">
        <v>143.16368652705043</v>
      </c>
      <c r="AI101" s="35">
        <v>7.5057269598454575</v>
      </c>
      <c r="AJ101" s="35">
        <v>13.173532291948224</v>
      </c>
      <c r="AK101" s="35">
        <v>34.111111630110798</v>
      </c>
      <c r="AL101" s="35">
        <v>134.14529477365224</v>
      </c>
      <c r="AM101" s="35">
        <v>16.28631540491498</v>
      </c>
      <c r="AN101" s="35">
        <v>645.45260840946048</v>
      </c>
      <c r="AO101" s="35">
        <v>2364.4674324829457</v>
      </c>
      <c r="AP101" s="35">
        <v>339.84348693087463</v>
      </c>
      <c r="AQ101" s="35">
        <v>18.763569569625911</v>
      </c>
      <c r="AR101" s="35">
        <v>587.5084733789173</v>
      </c>
      <c r="AS101" s="35">
        <v>524.16115902072522</v>
      </c>
      <c r="AT101" s="35">
        <v>870.42056028463855</v>
      </c>
      <c r="AU101" s="35">
        <v>2723.2810736918755</v>
      </c>
      <c r="AV101" s="35">
        <v>2521.3068355764544</v>
      </c>
      <c r="AW101" s="35">
        <v>66.285754106791515</v>
      </c>
      <c r="AX101" s="35">
        <v>5817.708784850036</v>
      </c>
      <c r="AY101" s="35">
        <v>993.7443286389547</v>
      </c>
      <c r="AZ101" s="35">
        <v>11987.938910287858</v>
      </c>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v>413.67388155218111</v>
      </c>
      <c r="DM101" s="35">
        <v>928.97081794699159</v>
      </c>
      <c r="DN101" s="35">
        <v>1435.54959418674</v>
      </c>
      <c r="DO101" s="35">
        <v>1773.9607748934091</v>
      </c>
      <c r="DP101" s="35">
        <v>2343.9885857913291</v>
      </c>
      <c r="DQ101" s="35">
        <v>3079.0897279348828</v>
      </c>
      <c r="DR101" s="35">
        <v>4433.6120587327741</v>
      </c>
      <c r="DS101" s="35">
        <v>6530.8294266876082</v>
      </c>
      <c r="DT101" s="35">
        <v>10591.093723997999</v>
      </c>
      <c r="DU101" s="35">
        <v>3769.6482340865646</v>
      </c>
      <c r="DV101" s="35">
        <v>4009.4955795886422</v>
      </c>
      <c r="DW101" s="35">
        <v>3818.5154957367504</v>
      </c>
      <c r="DX101" s="35">
        <v>5173.8949113906592</v>
      </c>
      <c r="DY101" s="35">
        <v>7177.4894536261145</v>
      </c>
      <c r="DZ101" s="35"/>
      <c r="EA101" s="35"/>
      <c r="EB101" s="35"/>
      <c r="EC101" s="35"/>
      <c r="ED101" s="35"/>
      <c r="EE101" s="35"/>
      <c r="EF101" s="35"/>
      <c r="EG101" s="35"/>
      <c r="EH101" s="35"/>
      <c r="EI101" s="35"/>
      <c r="EJ101" s="35">
        <v>1256.3984954866874</v>
      </c>
      <c r="EK101" s="35">
        <v>22369.227343869505</v>
      </c>
      <c r="EL101" s="35">
        <v>110251.32752177611</v>
      </c>
    </row>
    <row r="102" spans="1:142" x14ac:dyDescent="0.25">
      <c r="A102" s="33" t="s">
        <v>263</v>
      </c>
      <c r="B102" s="35"/>
      <c r="C102" s="35"/>
      <c r="D102" s="35"/>
      <c r="E102" s="35">
        <v>274.65761388092113</v>
      </c>
      <c r="F102" s="35"/>
      <c r="G102" s="35">
        <v>347.87627275216727</v>
      </c>
      <c r="H102" s="35">
        <v>65.251928751281426</v>
      </c>
      <c r="I102" s="35">
        <v>4.3059831971807352</v>
      </c>
      <c r="J102" s="35">
        <v>5.1648093599847567</v>
      </c>
      <c r="K102" s="35">
        <v>1.8988576729966249E-3</v>
      </c>
      <c r="L102" s="35">
        <v>730.39959667508583</v>
      </c>
      <c r="M102" s="35">
        <v>336.18256309388687</v>
      </c>
      <c r="N102" s="35">
        <v>163.47889125714795</v>
      </c>
      <c r="O102" s="35">
        <v>150.86297890521013</v>
      </c>
      <c r="P102" s="35">
        <v>16.45433640748697</v>
      </c>
      <c r="Q102" s="35">
        <v>48.516917202970752</v>
      </c>
      <c r="R102" s="35">
        <v>170.13663489580847</v>
      </c>
      <c r="S102" s="35">
        <v>175.30408125440675</v>
      </c>
      <c r="T102" s="35">
        <v>457.87066988686206</v>
      </c>
      <c r="U102" s="35">
        <v>57.704080361573681</v>
      </c>
      <c r="V102" s="35">
        <v>227.479122954216</v>
      </c>
      <c r="W102" s="35">
        <v>664.62543849573137</v>
      </c>
      <c r="X102" s="35">
        <v>66.440922750047633</v>
      </c>
      <c r="Y102" s="35">
        <v>167.14345824641782</v>
      </c>
      <c r="Z102" s="35">
        <v>47.961069385116396</v>
      </c>
      <c r="AA102" s="35">
        <v>138.42546828403809</v>
      </c>
      <c r="AB102" s="35">
        <v>559.35508094795694</v>
      </c>
      <c r="AC102" s="35">
        <v>81.249562603043771</v>
      </c>
      <c r="AD102" s="35">
        <v>320.09558607081073</v>
      </c>
      <c r="AE102" s="35">
        <v>453.60601851144122</v>
      </c>
      <c r="AF102" s="35">
        <v>175.80805627719573</v>
      </c>
      <c r="AG102" s="35">
        <v>178.66959225647736</v>
      </c>
      <c r="AH102" s="35">
        <v>559.36335943818551</v>
      </c>
      <c r="AI102" s="35">
        <v>96.854648238145415</v>
      </c>
      <c r="AJ102" s="35">
        <v>56.301042951949114</v>
      </c>
      <c r="AK102" s="35">
        <v>68.396469022929935</v>
      </c>
      <c r="AL102" s="35">
        <v>8.6620528215840622</v>
      </c>
      <c r="AM102" s="35">
        <v>262.12416590492984</v>
      </c>
      <c r="AN102" s="35">
        <v>587.02777416386107</v>
      </c>
      <c r="AO102" s="35">
        <v>6246.5354393371981</v>
      </c>
      <c r="AP102" s="35">
        <v>1621.9880987614401</v>
      </c>
      <c r="AQ102" s="35">
        <v>44.795651351637183</v>
      </c>
      <c r="AR102" s="35">
        <v>774.74218943358221</v>
      </c>
      <c r="AS102" s="35">
        <v>1139.8172373216444</v>
      </c>
      <c r="AT102" s="35"/>
      <c r="AU102" s="35">
        <v>8510.0935201177308</v>
      </c>
      <c r="AV102" s="35">
        <v>5491.4486182228402</v>
      </c>
      <c r="AW102" s="35">
        <v>302.86629298445683</v>
      </c>
      <c r="AX102" s="35">
        <v>8929.4790760022552</v>
      </c>
      <c r="AY102" s="35">
        <v>4435.8506286162637</v>
      </c>
      <c r="AZ102" s="35">
        <v>1717.2002134910374</v>
      </c>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v>2612.057874121776</v>
      </c>
      <c r="DM102" s="35">
        <v>4079.2857157746639</v>
      </c>
      <c r="DN102" s="35">
        <v>5244.7959202817119</v>
      </c>
      <c r="DO102" s="35">
        <v>6672.5459208028469</v>
      </c>
      <c r="DP102" s="35">
        <v>7692.3673497465115</v>
      </c>
      <c r="DQ102" s="35">
        <v>9382.3571462817308</v>
      </c>
      <c r="DR102" s="35">
        <v>11130.622453042302</v>
      </c>
      <c r="DS102" s="35">
        <v>11101.484697929622</v>
      </c>
      <c r="DT102" s="35">
        <v>9149.2551053803199</v>
      </c>
      <c r="DU102" s="35">
        <v>1576.3525515957808</v>
      </c>
      <c r="DV102" s="35">
        <v>1477.2841842126822</v>
      </c>
      <c r="DW102" s="35">
        <v>1794.8857149408527</v>
      </c>
      <c r="DX102" s="35">
        <v>2121.2285722028264</v>
      </c>
      <c r="DY102" s="35">
        <v>3525.6683686338174</v>
      </c>
      <c r="DZ102" s="35"/>
      <c r="EA102" s="35"/>
      <c r="EB102" s="35"/>
      <c r="EC102" s="35"/>
      <c r="ED102" s="35"/>
      <c r="EE102" s="35"/>
      <c r="EF102" s="35"/>
      <c r="EG102" s="35"/>
      <c r="EH102" s="35"/>
      <c r="EI102" s="35"/>
      <c r="EJ102" s="35">
        <v>121.15257680663895</v>
      </c>
      <c r="EK102" s="35">
        <v>19567.115441217124</v>
      </c>
      <c r="EL102" s="35">
        <v>144187.03470467505</v>
      </c>
    </row>
    <row r="103" spans="1:142" x14ac:dyDescent="0.25">
      <c r="A103" s="33" t="s">
        <v>262</v>
      </c>
      <c r="B103" s="35">
        <v>22170.59653104459</v>
      </c>
      <c r="C103" s="35">
        <v>2349.3925147359255</v>
      </c>
      <c r="D103" s="35">
        <v>250.15372137519728</v>
      </c>
      <c r="E103" s="35">
        <v>2838.6637288084271</v>
      </c>
      <c r="F103" s="35">
        <v>768.16067804426996</v>
      </c>
      <c r="G103" s="35">
        <v>2410.0922036549136</v>
      </c>
      <c r="H103" s="35">
        <v>904.3005418620412</v>
      </c>
      <c r="I103" s="35">
        <v>59.674909431438294</v>
      </c>
      <c r="J103" s="35">
        <v>71.5770398243843</v>
      </c>
      <c r="K103" s="35">
        <v>0.1637032606521116</v>
      </c>
      <c r="L103" s="35">
        <v>5360.1226286128076</v>
      </c>
      <c r="M103" s="35">
        <v>734.4517426753132</v>
      </c>
      <c r="N103" s="35">
        <v>300.5913378349569</v>
      </c>
      <c r="O103" s="35">
        <v>158.36674316479434</v>
      </c>
      <c r="P103" s="35">
        <v>26.765304044175686</v>
      </c>
      <c r="Q103" s="35">
        <v>105.88323449138349</v>
      </c>
      <c r="R103" s="35">
        <v>1142.9431193213111</v>
      </c>
      <c r="S103" s="35">
        <v>1467.4394284276079</v>
      </c>
      <c r="T103" s="35">
        <v>430.61120042072747</v>
      </c>
      <c r="U103" s="35">
        <v>1470.4001312162163</v>
      </c>
      <c r="V103" s="35">
        <v>19611.303515507847</v>
      </c>
      <c r="W103" s="35">
        <v>8450.5049732902226</v>
      </c>
      <c r="X103" s="35">
        <v>564.83988735326784</v>
      </c>
      <c r="Y103" s="35">
        <v>457.70788017696117</v>
      </c>
      <c r="Z103" s="35">
        <v>98.471430698098871</v>
      </c>
      <c r="AA103" s="35">
        <v>2627.3443708556974</v>
      </c>
      <c r="AB103" s="35">
        <v>18364.020987788837</v>
      </c>
      <c r="AC103" s="35">
        <v>107.3209429819333</v>
      </c>
      <c r="AD103" s="35">
        <v>404.82707662841324</v>
      </c>
      <c r="AE103" s="35">
        <v>375.87954867458154</v>
      </c>
      <c r="AF103" s="35">
        <v>1189.3724372220086</v>
      </c>
      <c r="AG103" s="35">
        <v>44.978099581884329</v>
      </c>
      <c r="AH103" s="35">
        <v>827.38195626595518</v>
      </c>
      <c r="AI103" s="35">
        <v>16.817540555849334</v>
      </c>
      <c r="AJ103" s="35">
        <v>582.32312346520735</v>
      </c>
      <c r="AK103" s="35">
        <v>317.45637293854116</v>
      </c>
      <c r="AL103" s="35">
        <v>5450</v>
      </c>
      <c r="AM103" s="35">
        <v>170.20197035507221</v>
      </c>
      <c r="AN103" s="35">
        <v>8718.5136319177818</v>
      </c>
      <c r="AO103" s="35">
        <v>28479.43081351999</v>
      </c>
      <c r="AP103" s="35">
        <v>297.69997895420619</v>
      </c>
      <c r="AQ103" s="35">
        <v>1.1574756662215337</v>
      </c>
      <c r="AR103" s="35">
        <v>62.11156689992346</v>
      </c>
      <c r="AS103" s="35">
        <v>10785.83097286476</v>
      </c>
      <c r="AT103" s="35"/>
      <c r="AU103" s="35">
        <v>2197.5921040299313</v>
      </c>
      <c r="AV103" s="35">
        <v>43028.297587766247</v>
      </c>
      <c r="AW103" s="35">
        <v>1121.0089389811751</v>
      </c>
      <c r="AX103" s="35">
        <v>29964.314177796034</v>
      </c>
      <c r="AY103" s="35">
        <v>13155.452089933398</v>
      </c>
      <c r="AZ103" s="35">
        <v>12825.548900335341</v>
      </c>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v>130063.45856301185</v>
      </c>
      <c r="DD103" s="35"/>
      <c r="DE103" s="35"/>
      <c r="DF103" s="35"/>
      <c r="DG103" s="35"/>
      <c r="DH103" s="35"/>
      <c r="DI103" s="35"/>
      <c r="DJ103" s="35"/>
      <c r="DK103" s="35"/>
      <c r="DL103" s="35">
        <v>19.293437269360908</v>
      </c>
      <c r="DM103" s="35">
        <v>21.714083911640824</v>
      </c>
      <c r="DN103" s="35">
        <v>17.820414481855824</v>
      </c>
      <c r="DO103" s="35">
        <v>32.221302995337481</v>
      </c>
      <c r="DP103" s="35">
        <v>36.673036019896735</v>
      </c>
      <c r="DQ103" s="35">
        <v>39.995716697487616</v>
      </c>
      <c r="DR103" s="35">
        <v>86.245360466850357</v>
      </c>
      <c r="DS103" s="35">
        <v>62.193634825608662</v>
      </c>
      <c r="DT103" s="35">
        <v>162.21372654705226</v>
      </c>
      <c r="DU103" s="35">
        <v>11.192028291271949</v>
      </c>
      <c r="DV103" s="35">
        <v>34.508177993916391</v>
      </c>
      <c r="DW103" s="35">
        <v>141.32800451862735</v>
      </c>
      <c r="DX103" s="35">
        <v>56.01088328341752</v>
      </c>
      <c r="DY103" s="35">
        <v>34.555308746165139</v>
      </c>
      <c r="DZ103" s="35"/>
      <c r="EA103" s="35"/>
      <c r="EB103" s="35"/>
      <c r="EC103" s="35"/>
      <c r="ED103" s="35"/>
      <c r="EE103" s="35"/>
      <c r="EF103" s="35"/>
      <c r="EG103" s="35"/>
      <c r="EH103" s="35"/>
      <c r="EI103" s="35"/>
      <c r="EJ103" s="35">
        <v>258.61618985614479</v>
      </c>
      <c r="EK103" s="35">
        <v>17289.694908225585</v>
      </c>
      <c r="EL103" s="35">
        <v>401685.79557239852</v>
      </c>
    </row>
    <row r="104" spans="1:142" x14ac:dyDescent="0.25">
      <c r="A104" s="33" t="s">
        <v>261</v>
      </c>
      <c r="B104" s="35"/>
      <c r="C104" s="35"/>
      <c r="D104" s="35"/>
      <c r="E104" s="35">
        <v>50.793673242381296</v>
      </c>
      <c r="F104" s="35"/>
      <c r="G104" s="35">
        <v>64.334330577167094</v>
      </c>
      <c r="H104" s="35">
        <v>12.067333945691013</v>
      </c>
      <c r="I104" s="35">
        <v>0.79632492401833821</v>
      </c>
      <c r="J104" s="35">
        <v>0.9551515258703025</v>
      </c>
      <c r="K104" s="35">
        <v>3.511643271531345E-4</v>
      </c>
      <c r="L104" s="35">
        <v>135.07609683802943</v>
      </c>
      <c r="M104" s="35">
        <v>62.171760026213832</v>
      </c>
      <c r="N104" s="35">
        <v>30.232889841322429</v>
      </c>
      <c r="O104" s="35">
        <v>27.899772180376473</v>
      </c>
      <c r="P104" s="35">
        <v>3.0429747608033373</v>
      </c>
      <c r="Q104" s="35">
        <v>8.9724526632048658</v>
      </c>
      <c r="R104" s="35">
        <v>31.464136447361469</v>
      </c>
      <c r="S104" s="35">
        <v>32.419775645297449</v>
      </c>
      <c r="T104" s="35">
        <v>84.676091315592075</v>
      </c>
      <c r="U104" s="35">
        <v>10.67147624718182</v>
      </c>
      <c r="V104" s="35">
        <v>42.068741796502401</v>
      </c>
      <c r="W104" s="35">
        <v>122.91218464514446</v>
      </c>
      <c r="X104" s="35">
        <v>12.287219976910473</v>
      </c>
      <c r="Y104" s="35">
        <v>30.910594768550446</v>
      </c>
      <c r="Z104" s="35">
        <v>8.8696572153247075</v>
      </c>
      <c r="AA104" s="35">
        <v>25.599647157392926</v>
      </c>
      <c r="AB104" s="35">
        <v>103.44406188737324</v>
      </c>
      <c r="AC104" s="35">
        <v>15.025848639807487</v>
      </c>
      <c r="AD104" s="35">
        <v>59.196722695837515</v>
      </c>
      <c r="AE104" s="35">
        <v>83.887410072079518</v>
      </c>
      <c r="AF104" s="35">
        <v>32.512978022861844</v>
      </c>
      <c r="AG104" s="35">
        <v>33.042174797890858</v>
      </c>
      <c r="AH104" s="35">
        <v>103.44559286596754</v>
      </c>
      <c r="AI104" s="35">
        <v>17.911767618963779</v>
      </c>
      <c r="AJ104" s="35">
        <v>10.412006201096714</v>
      </c>
      <c r="AK104" s="35">
        <v>12.648867982919164</v>
      </c>
      <c r="AL104" s="35">
        <v>1.6019125572777375</v>
      </c>
      <c r="AM104" s="35">
        <v>48.475806090994432</v>
      </c>
      <c r="AN104" s="35">
        <v>108.5616980492992</v>
      </c>
      <c r="AO104" s="35">
        <v>1155.2000161925541</v>
      </c>
      <c r="AP104" s="35">
        <v>299.9615860903786</v>
      </c>
      <c r="AQ104" s="35">
        <v>8.2842621592903516</v>
      </c>
      <c r="AR104" s="35">
        <v>143.27657282509438</v>
      </c>
      <c r="AS104" s="35">
        <v>210.791550579953</v>
      </c>
      <c r="AT104" s="35"/>
      <c r="AU104" s="35">
        <v>1573.8100372137289</v>
      </c>
      <c r="AV104" s="35">
        <v>1015.5583994196818</v>
      </c>
      <c r="AW104" s="35">
        <v>56.010431695709258</v>
      </c>
      <c r="AX104" s="35">
        <v>1651.3689025485478</v>
      </c>
      <c r="AY104" s="35">
        <v>820.34189476222411</v>
      </c>
      <c r="AZ104" s="35">
        <v>317.56959256781056</v>
      </c>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v>483.05966207750146</v>
      </c>
      <c r="DM104" s="35">
        <v>754.40073472423376</v>
      </c>
      <c r="DN104" s="35">
        <v>969.94380178830079</v>
      </c>
      <c r="DO104" s="35">
        <v>1233.9840589417829</v>
      </c>
      <c r="DP104" s="35">
        <v>1422.5842426228412</v>
      </c>
      <c r="DQ104" s="35">
        <v>1735.1216898657383</v>
      </c>
      <c r="DR104" s="35">
        <v>2058.4362904618388</v>
      </c>
      <c r="DS104" s="35">
        <v>2053.0477137852363</v>
      </c>
      <c r="DT104" s="35">
        <v>1692.0130764529247</v>
      </c>
      <c r="DU104" s="35">
        <v>291.52199820415035</v>
      </c>
      <c r="DV104" s="35">
        <v>273.20083750370475</v>
      </c>
      <c r="DW104" s="35">
        <v>331.93632327866294</v>
      </c>
      <c r="DX104" s="35">
        <v>392.28838205660173</v>
      </c>
      <c r="DY104" s="35">
        <v>652.01777786880211</v>
      </c>
      <c r="DZ104" s="35"/>
      <c r="EA104" s="35"/>
      <c r="EB104" s="35"/>
      <c r="EC104" s="35"/>
      <c r="ED104" s="35"/>
      <c r="EE104" s="35"/>
      <c r="EF104" s="35"/>
      <c r="EG104" s="35"/>
      <c r="EH104" s="35"/>
      <c r="EI104" s="35"/>
      <c r="EJ104" s="35">
        <v>22.405293309862216</v>
      </c>
      <c r="EK104" s="35">
        <v>3618.6350488286084</v>
      </c>
      <c r="EL104" s="35">
        <v>26665.159662212791</v>
      </c>
    </row>
    <row r="105" spans="1:142" x14ac:dyDescent="0.25">
      <c r="A105" s="33" t="s">
        <v>260</v>
      </c>
      <c r="B105" s="35">
        <v>483.94130360353796</v>
      </c>
      <c r="C105" s="35">
        <v>51.282701151755099</v>
      </c>
      <c r="D105" s="35">
        <v>5.4603726090127598</v>
      </c>
      <c r="E105" s="35">
        <v>61.962546812307387</v>
      </c>
      <c r="F105" s="35">
        <v>16.767464032335916</v>
      </c>
      <c r="G105" s="35">
        <v>52.607658129915407</v>
      </c>
      <c r="H105" s="35">
        <v>19.739134328898576</v>
      </c>
      <c r="I105" s="35">
        <v>1.3025880211312759</v>
      </c>
      <c r="J105" s="35">
        <v>1.562388540704855</v>
      </c>
      <c r="K105" s="35">
        <v>3.5733260155269252E-3</v>
      </c>
      <c r="L105" s="35">
        <v>117.00112483367114</v>
      </c>
      <c r="M105" s="35">
        <v>16.031663076204776</v>
      </c>
      <c r="N105" s="35">
        <v>6.5613283648045631</v>
      </c>
      <c r="O105" s="35">
        <v>3.4568401453384925</v>
      </c>
      <c r="P105" s="35">
        <v>0.58423489473303492</v>
      </c>
      <c r="Q105" s="35">
        <v>2.3112265138093209</v>
      </c>
      <c r="R105" s="35">
        <v>24.948240898008375</v>
      </c>
      <c r="S105" s="35">
        <v>32.031368617352555</v>
      </c>
      <c r="T105" s="35">
        <v>9.3994108541955708</v>
      </c>
      <c r="U105" s="35">
        <v>32.095995041142977</v>
      </c>
      <c r="V105" s="35">
        <v>428.07687990578154</v>
      </c>
      <c r="W105" s="35">
        <v>184.4582028794679</v>
      </c>
      <c r="X105" s="35">
        <v>12.329363850460943</v>
      </c>
      <c r="Y105" s="35">
        <v>9.9908790407280108</v>
      </c>
      <c r="Z105" s="35">
        <v>2.14944115161786</v>
      </c>
      <c r="AA105" s="35">
        <v>57.349853354956906</v>
      </c>
      <c r="AB105" s="35">
        <v>400.85111123595618</v>
      </c>
      <c r="AC105" s="35">
        <v>2.3426089134729611</v>
      </c>
      <c r="AD105" s="35">
        <v>8.8365932293808704</v>
      </c>
      <c r="AE105" s="35">
        <v>8.2047246012877526</v>
      </c>
      <c r="AF105" s="35">
        <v>25.96170323759063</v>
      </c>
      <c r="AG105" s="35">
        <v>0.98178504645951814</v>
      </c>
      <c r="AH105" s="35">
        <v>18.060150160268435</v>
      </c>
      <c r="AI105" s="35">
        <v>0.36709443016595417</v>
      </c>
      <c r="AJ105" s="35">
        <v>12.71098912894062</v>
      </c>
      <c r="AK105" s="35">
        <v>6.9294595092200737</v>
      </c>
      <c r="AL105" s="35">
        <v>21.950805189764914</v>
      </c>
      <c r="AM105" s="35">
        <v>3.7151802972097805</v>
      </c>
      <c r="AN105" s="35">
        <v>190.30831428497939</v>
      </c>
      <c r="AO105" s="35">
        <v>621.65097156870502</v>
      </c>
      <c r="AP105" s="35">
        <v>6.4982155845969185</v>
      </c>
      <c r="AQ105" s="35">
        <v>2.5265458329741679E-2</v>
      </c>
      <c r="AR105" s="35">
        <v>1.3557755476862257</v>
      </c>
      <c r="AS105" s="35">
        <v>235.43385917228886</v>
      </c>
      <c r="AT105" s="35"/>
      <c r="AU105" s="35">
        <v>47.969191362257789</v>
      </c>
      <c r="AV105" s="35">
        <v>939.22463463293468</v>
      </c>
      <c r="AW105" s="35">
        <v>24.469460103255425</v>
      </c>
      <c r="AX105" s="35">
        <v>654.06310761568659</v>
      </c>
      <c r="AY105" s="35">
        <v>287.15811164492351</v>
      </c>
      <c r="AZ105" s="35">
        <v>279.95696216689788</v>
      </c>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v>2936.0462744548072</v>
      </c>
      <c r="DD105" s="35"/>
      <c r="DE105" s="35"/>
      <c r="DF105" s="35"/>
      <c r="DG105" s="35"/>
      <c r="DH105" s="35"/>
      <c r="DI105" s="35"/>
      <c r="DJ105" s="35"/>
      <c r="DK105" s="35"/>
      <c r="DL105" s="35">
        <v>0.42113847365602131</v>
      </c>
      <c r="DM105" s="35">
        <v>0.4739765147970495</v>
      </c>
      <c r="DN105" s="35">
        <v>0.38898523109329897</v>
      </c>
      <c r="DO105" s="35">
        <v>0.70332881451943108</v>
      </c>
      <c r="DP105" s="35">
        <v>0.80050154869387857</v>
      </c>
      <c r="DQ105" s="35">
        <v>0.87302925070316029</v>
      </c>
      <c r="DR105" s="35">
        <v>1.8825696510078558</v>
      </c>
      <c r="DS105" s="35">
        <v>1.3575669320039423</v>
      </c>
      <c r="DT105" s="35">
        <v>3.5408123627907453</v>
      </c>
      <c r="DU105" s="35">
        <v>0.2443003621333156</v>
      </c>
      <c r="DV105" s="35">
        <v>0.75324687903523835</v>
      </c>
      <c r="DW105" s="35">
        <v>3.0849173880667222</v>
      </c>
      <c r="DX105" s="35">
        <v>1.2226094067521944</v>
      </c>
      <c r="DY105" s="35">
        <v>0.75427565233193949</v>
      </c>
      <c r="DZ105" s="35"/>
      <c r="EA105" s="35"/>
      <c r="EB105" s="35"/>
      <c r="EC105" s="35"/>
      <c r="ED105" s="35"/>
      <c r="EE105" s="35"/>
      <c r="EF105" s="35"/>
      <c r="EG105" s="35"/>
      <c r="EH105" s="35"/>
      <c r="EI105" s="35"/>
      <c r="EJ105" s="35">
        <v>5.6450919521589427</v>
      </c>
      <c r="EK105" s="35">
        <v>377.40064779393254</v>
      </c>
      <c r="EL105" s="35">
        <v>8768.025130768634</v>
      </c>
    </row>
    <row r="106" spans="1:142" x14ac:dyDescent="0.25">
      <c r="A106" s="33" t="s">
        <v>259</v>
      </c>
      <c r="B106" s="35"/>
      <c r="C106" s="35"/>
      <c r="D106" s="35"/>
      <c r="E106" s="35">
        <v>15693.915711841244</v>
      </c>
      <c r="F106" s="35">
        <v>4250.4623080367328</v>
      </c>
      <c r="G106" s="35">
        <v>13355.577002331815</v>
      </c>
      <c r="H106" s="35">
        <v>4994.5665521202127</v>
      </c>
      <c r="I106" s="35">
        <v>329.5920911794995</v>
      </c>
      <c r="J106" s="35">
        <v>395.32906645231816</v>
      </c>
      <c r="K106" s="35">
        <v>3.2563323754976671E-3</v>
      </c>
      <c r="L106" s="35">
        <v>1140.4122254604338</v>
      </c>
      <c r="M106" s="35">
        <v>431.38217339392236</v>
      </c>
      <c r="N106" s="35">
        <v>134.89637545478246</v>
      </c>
      <c r="O106" s="35">
        <v>118.55275353080012</v>
      </c>
      <c r="P106" s="35">
        <v>20.017217748348944</v>
      </c>
      <c r="Q106" s="35">
        <v>44.739678415627203</v>
      </c>
      <c r="R106" s="35">
        <v>186.74891041162539</v>
      </c>
      <c r="S106" s="35">
        <v>409.15638878960834</v>
      </c>
      <c r="T106" s="35">
        <v>228.12900295063625</v>
      </c>
      <c r="U106" s="35">
        <v>474.94751763364036</v>
      </c>
      <c r="V106" s="35">
        <v>390.10171397240083</v>
      </c>
      <c r="W106" s="35">
        <v>608.8813863603682</v>
      </c>
      <c r="X106" s="35">
        <v>75.858904343262921</v>
      </c>
      <c r="Y106" s="35">
        <v>114.47325216355597</v>
      </c>
      <c r="Z106" s="35">
        <v>37.678617041888231</v>
      </c>
      <c r="AA106" s="35">
        <v>176.45315947542488</v>
      </c>
      <c r="AB106" s="35">
        <v>803.4328477226029</v>
      </c>
      <c r="AC106" s="35">
        <v>193.98936923304552</v>
      </c>
      <c r="AD106" s="35">
        <v>379.69749975550059</v>
      </c>
      <c r="AE106" s="35">
        <v>351.05654260126664</v>
      </c>
      <c r="AF106" s="35">
        <v>227.75119043025217</v>
      </c>
      <c r="AG106" s="35">
        <v>88.497143762957847</v>
      </c>
      <c r="AH106" s="35">
        <v>1077.7120150388387</v>
      </c>
      <c r="AI106" s="35">
        <v>56.732085780365338</v>
      </c>
      <c r="AJ106" s="35">
        <v>104.29006673275107</v>
      </c>
      <c r="AK106" s="35">
        <v>123.56248992494142</v>
      </c>
      <c r="AL106" s="35"/>
      <c r="AM106" s="35"/>
      <c r="AN106" s="35">
        <v>1810.029286767751</v>
      </c>
      <c r="AO106" s="35">
        <v>1803.8055133506982</v>
      </c>
      <c r="AP106" s="35"/>
      <c r="AQ106" s="35">
        <v>1.2931311095864433</v>
      </c>
      <c r="AR106" s="35">
        <v>16.925711556248263</v>
      </c>
      <c r="AS106" s="35">
        <v>194.89519388164777</v>
      </c>
      <c r="AT106" s="35">
        <v>261.31422966171021</v>
      </c>
      <c r="AU106" s="35">
        <v>817.57270955478668</v>
      </c>
      <c r="AV106" s="35"/>
      <c r="AW106" s="35"/>
      <c r="AX106" s="35">
        <v>5614.6672930084969</v>
      </c>
      <c r="AY106" s="35"/>
      <c r="AZ106" s="35">
        <v>6.6010853307355379</v>
      </c>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v>15.261674576190808</v>
      </c>
      <c r="DM106" s="35">
        <v>34.408648721210739</v>
      </c>
      <c r="DN106" s="35">
        <v>51.437096701178618</v>
      </c>
      <c r="DO106" s="35">
        <v>79.418588181830799</v>
      </c>
      <c r="DP106" s="35">
        <v>92.655380832550875</v>
      </c>
      <c r="DQ106" s="35">
        <v>137.19762593414777</v>
      </c>
      <c r="DR106" s="35">
        <v>257.24554862652707</v>
      </c>
      <c r="DS106" s="35">
        <v>323.10040907491805</v>
      </c>
      <c r="DT106" s="35">
        <v>720.2875361542757</v>
      </c>
      <c r="DU106" s="35">
        <v>172.86900867702619</v>
      </c>
      <c r="DV106" s="35">
        <v>183.15883062208724</v>
      </c>
      <c r="DW106" s="35">
        <v>190.70470004846541</v>
      </c>
      <c r="DX106" s="35">
        <v>322.41442094524723</v>
      </c>
      <c r="DY106" s="35">
        <v>410.90688967277254</v>
      </c>
      <c r="DZ106" s="35"/>
      <c r="EA106" s="35"/>
      <c r="EB106" s="35"/>
      <c r="EC106" s="35"/>
      <c r="ED106" s="35"/>
      <c r="EE106" s="35"/>
      <c r="EF106" s="35"/>
      <c r="EG106" s="35"/>
      <c r="EH106" s="35"/>
      <c r="EI106" s="35"/>
      <c r="EJ106" s="35">
        <v>140.67138016529691</v>
      </c>
      <c r="EK106" s="35">
        <v>930.49117774012643</v>
      </c>
      <c r="EL106" s="35">
        <v>61607.929587318547</v>
      </c>
    </row>
    <row r="107" spans="1:142" x14ac:dyDescent="0.25">
      <c r="A107" s="33" t="s">
        <v>258</v>
      </c>
      <c r="B107" s="35"/>
      <c r="C107" s="35"/>
      <c r="D107" s="35"/>
      <c r="E107" s="35">
        <v>80.484006902727657</v>
      </c>
      <c r="F107" s="35">
        <v>14.213756080223684</v>
      </c>
      <c r="G107" s="35">
        <v>36.962999946880657</v>
      </c>
      <c r="H107" s="35">
        <v>83.469629949201789</v>
      </c>
      <c r="I107" s="35">
        <v>5.5081716497015956</v>
      </c>
      <c r="J107" s="35">
        <v>6.60677368908632</v>
      </c>
      <c r="K107" s="35">
        <v>6.6445720529244095E-4</v>
      </c>
      <c r="L107" s="35">
        <v>333.68109563146515</v>
      </c>
      <c r="M107" s="35">
        <v>106.51588862344384</v>
      </c>
      <c r="N107" s="35">
        <v>54.252860599714076</v>
      </c>
      <c r="O107" s="35">
        <v>30.717669844133518</v>
      </c>
      <c r="P107" s="35">
        <v>2.5660553637304928</v>
      </c>
      <c r="Q107" s="35">
        <v>31.038918524606792</v>
      </c>
      <c r="R107" s="35">
        <v>74.519913772721395</v>
      </c>
      <c r="S107" s="35">
        <v>56.444575149751316</v>
      </c>
      <c r="T107" s="35">
        <v>512.7475819402091</v>
      </c>
      <c r="U107" s="35">
        <v>26.464101780163464</v>
      </c>
      <c r="V107" s="35">
        <v>79.60056430243182</v>
      </c>
      <c r="W107" s="35">
        <v>197.63176833150158</v>
      </c>
      <c r="X107" s="35">
        <v>12.909321254910001</v>
      </c>
      <c r="Y107" s="35">
        <v>32.008144683412105</v>
      </c>
      <c r="Z107" s="35">
        <v>31.880519644292782</v>
      </c>
      <c r="AA107" s="35">
        <v>52.151407845498362</v>
      </c>
      <c r="AB107" s="35">
        <v>46.160676284141481</v>
      </c>
      <c r="AC107" s="35">
        <v>12.881994280937104</v>
      </c>
      <c r="AD107" s="35">
        <v>62.910971961829752</v>
      </c>
      <c r="AE107" s="35">
        <v>106.09332231000194</v>
      </c>
      <c r="AF107" s="35">
        <v>77.088607504058203</v>
      </c>
      <c r="AG107" s="35">
        <v>10569.09070536055</v>
      </c>
      <c r="AH107" s="35">
        <v>254.81252595351</v>
      </c>
      <c r="AI107" s="35">
        <v>18.851074856602963</v>
      </c>
      <c r="AJ107" s="35">
        <v>16.865487808367163</v>
      </c>
      <c r="AK107" s="35">
        <v>34.968145928482713</v>
      </c>
      <c r="AL107" s="35">
        <v>161.71539311223938</v>
      </c>
      <c r="AM107" s="35">
        <v>8.3128896773625822</v>
      </c>
      <c r="AN107" s="35">
        <v>200.95496301682405</v>
      </c>
      <c r="AO107" s="35">
        <v>3449.4854893432371</v>
      </c>
      <c r="AP107" s="35">
        <v>124.19022049900809</v>
      </c>
      <c r="AQ107" s="35">
        <v>0.17512879984643728</v>
      </c>
      <c r="AR107" s="35">
        <v>10.913504023679661</v>
      </c>
      <c r="AS107" s="35">
        <v>152.99679244615223</v>
      </c>
      <c r="AT107" s="35">
        <v>75.588814007644558</v>
      </c>
      <c r="AU107" s="35">
        <v>236.49439818209066</v>
      </c>
      <c r="AV107" s="35">
        <v>233.74309532488093</v>
      </c>
      <c r="AW107" s="35">
        <v>220.07739636281519</v>
      </c>
      <c r="AX107" s="35">
        <v>152450.25533267407</v>
      </c>
      <c r="AY107" s="35"/>
      <c r="AZ107" s="35">
        <v>1471.9451876888725</v>
      </c>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v>4.9357198606361559</v>
      </c>
      <c r="DM107" s="35">
        <v>10.053086061558266</v>
      </c>
      <c r="DN107" s="35">
        <v>12.843488769215744</v>
      </c>
      <c r="DO107" s="35">
        <v>21.236419711016016</v>
      </c>
      <c r="DP107" s="35">
        <v>16.416016721986892</v>
      </c>
      <c r="DQ107" s="35">
        <v>95.90507266508709</v>
      </c>
      <c r="DR107" s="35">
        <v>34.232001447108587</v>
      </c>
      <c r="DS107" s="35">
        <v>80.98853088936815</v>
      </c>
      <c r="DT107" s="35">
        <v>149.37386265187121</v>
      </c>
      <c r="DU107" s="35">
        <v>131.02129162053791</v>
      </c>
      <c r="DV107" s="35">
        <v>58.384749744819707</v>
      </c>
      <c r="DW107" s="35">
        <v>199.96765926191338</v>
      </c>
      <c r="DX107" s="35">
        <v>88.742849731892122</v>
      </c>
      <c r="DY107" s="35">
        <v>123.60867927287258</v>
      </c>
      <c r="DZ107" s="35"/>
      <c r="EA107" s="35"/>
      <c r="EB107" s="35"/>
      <c r="EC107" s="35"/>
      <c r="ED107" s="35"/>
      <c r="EE107" s="35"/>
      <c r="EF107" s="35"/>
      <c r="EG107" s="35"/>
      <c r="EH107" s="35"/>
      <c r="EI107" s="35"/>
      <c r="EJ107" s="35">
        <v>242.74443140025673</v>
      </c>
      <c r="EK107" s="35">
        <v>1686.059523045436</v>
      </c>
      <c r="EL107" s="35">
        <v>174815.46189022981</v>
      </c>
    </row>
    <row r="108" spans="1:142" x14ac:dyDescent="0.25">
      <c r="A108" s="33" t="s">
        <v>257</v>
      </c>
      <c r="B108" s="35">
        <v>8516.1630777573864</v>
      </c>
      <c r="C108" s="35">
        <v>451.17838478462875</v>
      </c>
      <c r="D108" s="35">
        <v>541.08242925724653</v>
      </c>
      <c r="E108" s="35">
        <v>3306.4417692822258</v>
      </c>
      <c r="F108" s="35">
        <v>457.74786775753444</v>
      </c>
      <c r="G108" s="35">
        <v>7542.7804304930114</v>
      </c>
      <c r="H108" s="35">
        <v>5876.5105130757183</v>
      </c>
      <c r="I108" s="35">
        <v>387.79168695244209</v>
      </c>
      <c r="J108" s="35">
        <v>465.13654205794262</v>
      </c>
      <c r="K108" s="35">
        <v>3.3448133608784589E-3</v>
      </c>
      <c r="L108" s="35">
        <v>1887.3221851218689</v>
      </c>
      <c r="M108" s="35">
        <v>555.54754616165769</v>
      </c>
      <c r="N108" s="35">
        <v>445.46204634671273</v>
      </c>
      <c r="O108" s="35">
        <v>595.70944234643139</v>
      </c>
      <c r="P108" s="35">
        <v>117.57762635863575</v>
      </c>
      <c r="Q108" s="35">
        <v>155.94879788432712</v>
      </c>
      <c r="R108" s="35">
        <v>645.05316794687064</v>
      </c>
      <c r="S108" s="35">
        <v>361.62524475500152</v>
      </c>
      <c r="T108" s="35">
        <v>684.6088847875601</v>
      </c>
      <c r="U108" s="35">
        <v>209.34061709643134</v>
      </c>
      <c r="V108" s="35">
        <v>400.70154840906173</v>
      </c>
      <c r="W108" s="35">
        <v>1708.8500771249824</v>
      </c>
      <c r="X108" s="35">
        <v>191.56086375928078</v>
      </c>
      <c r="Y108" s="35">
        <v>480.45266081158331</v>
      </c>
      <c r="Z108" s="35">
        <v>102.24891632076537</v>
      </c>
      <c r="AA108" s="35">
        <v>450.16104411892553</v>
      </c>
      <c r="AB108" s="35">
        <v>694.04061065712949</v>
      </c>
      <c r="AC108" s="35">
        <v>322.72344598497074</v>
      </c>
      <c r="AD108" s="35">
        <v>1309.5309273642238</v>
      </c>
      <c r="AE108" s="35">
        <v>1486.6942377522523</v>
      </c>
      <c r="AF108" s="35">
        <v>493.6420952072246</v>
      </c>
      <c r="AG108" s="35">
        <v>674.66101456827732</v>
      </c>
      <c r="AH108" s="35">
        <v>811.38528210991853</v>
      </c>
      <c r="AI108" s="35">
        <v>130.27849399721853</v>
      </c>
      <c r="AJ108" s="35">
        <v>442.09530383233164</v>
      </c>
      <c r="AK108" s="35">
        <v>508.91280308808189</v>
      </c>
      <c r="AL108" s="35">
        <v>3447.0129206213246</v>
      </c>
      <c r="AM108" s="35">
        <v>1048.4653534556173</v>
      </c>
      <c r="AN108" s="35">
        <v>5160.2309552141469</v>
      </c>
      <c r="AO108" s="35">
        <v>30039.441309758538</v>
      </c>
      <c r="AP108" s="35">
        <v>1766.1476302496353</v>
      </c>
      <c r="AQ108" s="35">
        <v>57.821570162094524</v>
      </c>
      <c r="AR108" s="35">
        <v>756.51497247175894</v>
      </c>
      <c r="AS108" s="35">
        <v>3398.604955221926</v>
      </c>
      <c r="AT108" s="35">
        <v>1450.3815826995374</v>
      </c>
      <c r="AU108" s="35">
        <v>4537.8026370439648</v>
      </c>
      <c r="AV108" s="35">
        <v>2174.3525342341632</v>
      </c>
      <c r="AW108" s="35">
        <v>176416.01962076055</v>
      </c>
      <c r="AX108" s="35">
        <v>86895.833760481968</v>
      </c>
      <c r="AY108" s="35">
        <v>10575.072026760645</v>
      </c>
      <c r="AZ108" s="35">
        <v>21557.65596324591</v>
      </c>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v>612.34735203862476</v>
      </c>
      <c r="DM108" s="35">
        <v>1049.032695437023</v>
      </c>
      <c r="DN108" s="35">
        <v>1384.9258965938279</v>
      </c>
      <c r="DO108" s="35">
        <v>1816.9655965853685</v>
      </c>
      <c r="DP108" s="35">
        <v>2197.4034100511171</v>
      </c>
      <c r="DQ108" s="35">
        <v>3464.7098124752611</v>
      </c>
      <c r="DR108" s="35">
        <v>6125.7365968894355</v>
      </c>
      <c r="DS108" s="35">
        <v>12885.381630593169</v>
      </c>
      <c r="DT108" s="35">
        <v>33839.942440733583</v>
      </c>
      <c r="DU108" s="35">
        <v>9646.2134160137866</v>
      </c>
      <c r="DV108" s="35">
        <v>12779.337111122046</v>
      </c>
      <c r="DW108" s="35">
        <v>14212.46544493382</v>
      </c>
      <c r="DX108" s="35">
        <v>19500.278156364602</v>
      </c>
      <c r="DY108" s="35">
        <v>23143.864014228435</v>
      </c>
      <c r="DZ108" s="35"/>
      <c r="EA108" s="35"/>
      <c r="EB108" s="35"/>
      <c r="EC108" s="35"/>
      <c r="ED108" s="35"/>
      <c r="EE108" s="35"/>
      <c r="EF108" s="35"/>
      <c r="EG108" s="35"/>
      <c r="EH108" s="35"/>
      <c r="EI108" s="35"/>
      <c r="EJ108" s="35">
        <v>907.95667330703304</v>
      </c>
      <c r="EK108" s="35">
        <v>26621.23874820942</v>
      </c>
      <c r="EL108" s="35">
        <v>562880.12771810149</v>
      </c>
    </row>
    <row r="109" spans="1:142" x14ac:dyDescent="0.25">
      <c r="A109" s="33" t="s">
        <v>256</v>
      </c>
      <c r="B109" s="35">
        <v>607.91119116122172</v>
      </c>
      <c r="C109" s="35">
        <v>61.114319602298721</v>
      </c>
      <c r="D109" s="35">
        <v>4.642632373956336</v>
      </c>
      <c r="E109" s="35">
        <v>1350.2208838619144</v>
      </c>
      <c r="F109" s="35">
        <v>6381.7367639630102</v>
      </c>
      <c r="G109" s="35">
        <v>5205.9280560968327</v>
      </c>
      <c r="H109" s="35">
        <v>872.59500836361781</v>
      </c>
      <c r="I109" s="35">
        <v>57.582657185190612</v>
      </c>
      <c r="J109" s="35">
        <v>69.06748892972584</v>
      </c>
      <c r="K109" s="35">
        <v>2.8817453421183688E-2</v>
      </c>
      <c r="L109" s="35">
        <v>15218.628475655545</v>
      </c>
      <c r="M109" s="35">
        <v>3640.3039132721924</v>
      </c>
      <c r="N109" s="35">
        <v>1235.1331351304134</v>
      </c>
      <c r="O109" s="35">
        <v>1099.9382234054876</v>
      </c>
      <c r="P109" s="35">
        <v>139.13687550658179</v>
      </c>
      <c r="Q109" s="35">
        <v>413.78542531470481</v>
      </c>
      <c r="R109" s="35">
        <v>1829.1463188605487</v>
      </c>
      <c r="S109" s="35">
        <v>4333.5126433427322</v>
      </c>
      <c r="T109" s="35">
        <v>4461.2221867759908</v>
      </c>
      <c r="U109" s="35">
        <v>1340.1378824654826</v>
      </c>
      <c r="V109" s="35">
        <v>3452.2698163468344</v>
      </c>
      <c r="W109" s="35">
        <v>11449.699812177065</v>
      </c>
      <c r="X109" s="35">
        <v>1060.6774131001575</v>
      </c>
      <c r="Y109" s="35">
        <v>1294.6356931620749</v>
      </c>
      <c r="Z109" s="35">
        <v>454.27235273708595</v>
      </c>
      <c r="AA109" s="35">
        <v>1251.2269412395096</v>
      </c>
      <c r="AB109" s="35">
        <v>4340.8013176815484</v>
      </c>
      <c r="AC109" s="35">
        <v>715.34791669970241</v>
      </c>
      <c r="AD109" s="35">
        <v>3736.7949158701435</v>
      </c>
      <c r="AE109" s="35">
        <v>3391.0620437932594</v>
      </c>
      <c r="AF109" s="35">
        <v>2059.4715767225985</v>
      </c>
      <c r="AG109" s="35">
        <v>1130.8329468686077</v>
      </c>
      <c r="AH109" s="35">
        <v>6629.847234962609</v>
      </c>
      <c r="AI109" s="35">
        <v>783.07536947661754</v>
      </c>
      <c r="AJ109" s="35">
        <v>1309.6119875513778</v>
      </c>
      <c r="AK109" s="35">
        <v>1130.6100373202967</v>
      </c>
      <c r="AL109" s="35">
        <v>3155.5994003174442</v>
      </c>
      <c r="AM109" s="35">
        <v>1203.2239650192764</v>
      </c>
      <c r="AN109" s="35">
        <v>45203.718319128056</v>
      </c>
      <c r="AO109" s="35">
        <v>108244.67489078589</v>
      </c>
      <c r="AP109" s="35">
        <v>9689.4029992484175</v>
      </c>
      <c r="AQ109" s="35">
        <v>105.74934850060812</v>
      </c>
      <c r="AR109" s="35">
        <v>6135.4559562413187</v>
      </c>
      <c r="AS109" s="35">
        <v>5065.6268549517408</v>
      </c>
      <c r="AT109" s="35">
        <v>9770.9327907970419</v>
      </c>
      <c r="AU109" s="35">
        <v>30570.275514621851</v>
      </c>
      <c r="AV109" s="35">
        <v>22116.557831788476</v>
      </c>
      <c r="AW109" s="35">
        <v>22114.234212056825</v>
      </c>
      <c r="AX109" s="35">
        <v>79497.645871703062</v>
      </c>
      <c r="AY109" s="35">
        <v>65628.509953393892</v>
      </c>
      <c r="AZ109" s="35">
        <v>90644.442830368935</v>
      </c>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v>3327.4956389549488</v>
      </c>
      <c r="DM109" s="35">
        <v>4647.6226937478914</v>
      </c>
      <c r="DN109" s="35">
        <v>5729.7603196063874</v>
      </c>
      <c r="DO109" s="35">
        <v>7457.592058073692</v>
      </c>
      <c r="DP109" s="35">
        <v>9516.3827380272051</v>
      </c>
      <c r="DQ109" s="35">
        <v>13470.399110946973</v>
      </c>
      <c r="DR109" s="35">
        <v>20851.460688769519</v>
      </c>
      <c r="DS109" s="35">
        <v>35225.402273768006</v>
      </c>
      <c r="DT109" s="35">
        <v>78952.418364298079</v>
      </c>
      <c r="DU109" s="35">
        <v>24201.448765294903</v>
      </c>
      <c r="DV109" s="35">
        <v>24600.324573524376</v>
      </c>
      <c r="DW109" s="35">
        <v>30447.911989389642</v>
      </c>
      <c r="DX109" s="35">
        <v>42045.970500028168</v>
      </c>
      <c r="DY109" s="35">
        <v>48536.093916917263</v>
      </c>
      <c r="DZ109" s="35"/>
      <c r="EA109" s="35"/>
      <c r="EB109" s="35"/>
      <c r="EC109" s="35"/>
      <c r="ED109" s="35"/>
      <c r="EE109" s="35"/>
      <c r="EF109" s="35"/>
      <c r="EG109" s="35"/>
      <c r="EH109" s="35">
        <v>45612.827734111001</v>
      </c>
      <c r="EI109" s="35">
        <v>2429.658428840346</v>
      </c>
      <c r="EJ109" s="35">
        <v>1966.2137447015164</v>
      </c>
      <c r="EK109" s="35">
        <v>43587.005112188941</v>
      </c>
      <c r="EL109" s="35">
        <v>1034264.049664542</v>
      </c>
    </row>
    <row r="110" spans="1:142" x14ac:dyDescent="0.25">
      <c r="A110" s="33" t="s">
        <v>255</v>
      </c>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v>4.6943247607748182</v>
      </c>
      <c r="AR110" s="35">
        <v>54.188777600278719</v>
      </c>
      <c r="AS110" s="35">
        <v>89.646798268377026</v>
      </c>
      <c r="AT110" s="35">
        <v>190.77404515075662</v>
      </c>
      <c r="AU110" s="35">
        <v>596.87393682520724</v>
      </c>
      <c r="AV110" s="35">
        <v>560.22247624903957</v>
      </c>
      <c r="AW110" s="35">
        <v>84.842557830949588</v>
      </c>
      <c r="AX110" s="35"/>
      <c r="AY110" s="35">
        <v>55310.822173774352</v>
      </c>
      <c r="AZ110" s="35">
        <v>6982.9232779642034</v>
      </c>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v>65.961487190127869</v>
      </c>
      <c r="DM110" s="35">
        <v>152.40608885223102</v>
      </c>
      <c r="DN110" s="35">
        <v>256.99863276932746</v>
      </c>
      <c r="DO110" s="35">
        <v>325.54928202469637</v>
      </c>
      <c r="DP110" s="35">
        <v>409.22487314519162</v>
      </c>
      <c r="DQ110" s="35">
        <v>556.89695210281707</v>
      </c>
      <c r="DR110" s="35">
        <v>922.99218063199589</v>
      </c>
      <c r="DS110" s="35">
        <v>1549.9868688836334</v>
      </c>
      <c r="DT110" s="35">
        <v>3379.9713656946328</v>
      </c>
      <c r="DU110" s="35">
        <v>1139.9903422757047</v>
      </c>
      <c r="DV110" s="35">
        <v>938.99204508498826</v>
      </c>
      <c r="DW110" s="35">
        <v>1609.9863605823546</v>
      </c>
      <c r="DX110" s="35">
        <v>1235.9244295451656</v>
      </c>
      <c r="DY110" s="35">
        <v>3736.8751420915864</v>
      </c>
      <c r="DZ110" s="35">
        <v>650868</v>
      </c>
      <c r="EA110" s="35"/>
      <c r="EB110" s="35"/>
      <c r="EC110" s="35"/>
      <c r="ED110" s="35"/>
      <c r="EE110" s="35"/>
      <c r="EF110" s="35"/>
      <c r="EG110" s="35"/>
      <c r="EH110" s="35"/>
      <c r="EI110" s="35"/>
      <c r="EJ110" s="35">
        <v>114.89382935585093</v>
      </c>
      <c r="EK110" s="35">
        <v>620.09139797491093</v>
      </c>
      <c r="EL110" s="35">
        <v>731759.72964662907</v>
      </c>
    </row>
    <row r="111" spans="1:142" x14ac:dyDescent="0.25">
      <c r="A111" s="33" t="s">
        <v>254</v>
      </c>
      <c r="B111" s="35">
        <v>4521.9611430812147</v>
      </c>
      <c r="C111" s="35">
        <v>464.14264650904687</v>
      </c>
      <c r="D111" s="35">
        <v>92.798426569591527</v>
      </c>
      <c r="E111" s="35">
        <v>685.07977572441666</v>
      </c>
      <c r="F111" s="35">
        <v>1858.3874239891518</v>
      </c>
      <c r="G111" s="35">
        <v>1851.3166540729744</v>
      </c>
      <c r="H111" s="35">
        <v>682.18063754698142</v>
      </c>
      <c r="I111" s="35">
        <v>45.017188287505711</v>
      </c>
      <c r="J111" s="35">
        <v>53.995843639086701</v>
      </c>
      <c r="K111" s="35">
        <v>1.3973339183313864E-2</v>
      </c>
      <c r="L111" s="35">
        <v>15327.241919790589</v>
      </c>
      <c r="M111" s="35">
        <v>2871.8047425017539</v>
      </c>
      <c r="N111" s="35">
        <v>758.20337686850621</v>
      </c>
      <c r="O111" s="35">
        <v>6541.7442239771099</v>
      </c>
      <c r="P111" s="35">
        <v>1505.7952648812334</v>
      </c>
      <c r="Q111" s="35">
        <v>191.96304417482733</v>
      </c>
      <c r="R111" s="35">
        <v>2156.2123644223066</v>
      </c>
      <c r="S111" s="35">
        <v>3235.4830067786938</v>
      </c>
      <c r="T111" s="35">
        <v>1617.3551358266127</v>
      </c>
      <c r="U111" s="35">
        <v>535.51496716844497</v>
      </c>
      <c r="V111" s="35">
        <v>1673.9764055858586</v>
      </c>
      <c r="W111" s="35">
        <v>2773.0188004892739</v>
      </c>
      <c r="X111" s="35">
        <v>213.5651516217381</v>
      </c>
      <c r="Y111" s="35">
        <v>743.11467646397841</v>
      </c>
      <c r="Z111" s="35">
        <v>134.97217186743845</v>
      </c>
      <c r="AA111" s="35">
        <v>656.17741517502589</v>
      </c>
      <c r="AB111" s="35">
        <v>3623.9837227947141</v>
      </c>
      <c r="AC111" s="35">
        <v>764.49189594576274</v>
      </c>
      <c r="AD111" s="35">
        <v>1324.0393450690831</v>
      </c>
      <c r="AE111" s="35">
        <v>1337.0060187436272</v>
      </c>
      <c r="AF111" s="35">
        <v>2086.9865895215175</v>
      </c>
      <c r="AG111" s="35">
        <v>480.75147173077352</v>
      </c>
      <c r="AH111" s="35">
        <v>3701.7410746805308</v>
      </c>
      <c r="AI111" s="35">
        <v>564.14802427294489</v>
      </c>
      <c r="AJ111" s="35">
        <v>537.46236188388912</v>
      </c>
      <c r="AK111" s="35">
        <v>2143.6610171073321</v>
      </c>
      <c r="AL111" s="35">
        <v>161.50071856495569</v>
      </c>
      <c r="AM111" s="35">
        <v>233.19693353334529</v>
      </c>
      <c r="AN111" s="35">
        <v>51150.992207339514</v>
      </c>
      <c r="AO111" s="35">
        <v>94939.774433924249</v>
      </c>
      <c r="AP111" s="35">
        <v>15561.498447637674</v>
      </c>
      <c r="AQ111" s="35">
        <v>25.821079037401208</v>
      </c>
      <c r="AR111" s="35">
        <v>311.91097185400133</v>
      </c>
      <c r="AS111" s="35">
        <v>967.8311021268056</v>
      </c>
      <c r="AT111" s="35">
        <v>10246.383108701455</v>
      </c>
      <c r="AU111" s="35">
        <v>32057.814885022824</v>
      </c>
      <c r="AV111" s="35">
        <v>3230.5627037278755</v>
      </c>
      <c r="AW111" s="35">
        <v>59429.961586068021</v>
      </c>
      <c r="AX111" s="35">
        <v>45535.114149381378</v>
      </c>
      <c r="AY111" s="35">
        <v>11186.151445058902</v>
      </c>
      <c r="AZ111" s="35">
        <v>9730.1623865738238</v>
      </c>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v>2034.0628969308723</v>
      </c>
      <c r="DM111" s="35">
        <v>3486.944707484331</v>
      </c>
      <c r="DN111" s="35">
        <v>5032.933268045238</v>
      </c>
      <c r="DO111" s="35">
        <v>5995.7724239060663</v>
      </c>
      <c r="DP111" s="35">
        <v>8533.7740661231219</v>
      </c>
      <c r="DQ111" s="35">
        <v>9927.5210708705617</v>
      </c>
      <c r="DR111" s="35">
        <v>13781.83561121604</v>
      </c>
      <c r="DS111" s="35">
        <v>24080.180145387298</v>
      </c>
      <c r="DT111" s="35">
        <v>50613.79925742725</v>
      </c>
      <c r="DU111" s="35">
        <v>16128.647512651867</v>
      </c>
      <c r="DV111" s="35">
        <v>15569.18740057274</v>
      </c>
      <c r="DW111" s="35">
        <v>21143.740839585098</v>
      </c>
      <c r="DX111" s="35">
        <v>29801.448816482036</v>
      </c>
      <c r="DY111" s="35">
        <v>31395.39525709868</v>
      </c>
      <c r="DZ111" s="35"/>
      <c r="EA111" s="35"/>
      <c r="EB111" s="35"/>
      <c r="EC111" s="35"/>
      <c r="ED111" s="35"/>
      <c r="EE111" s="35"/>
      <c r="EF111" s="35"/>
      <c r="EG111" s="35"/>
      <c r="EH111" s="35"/>
      <c r="EI111" s="35"/>
      <c r="EJ111" s="35">
        <v>1418.6060794958441</v>
      </c>
      <c r="EK111" s="35">
        <v>19437.343155560604</v>
      </c>
      <c r="EL111" s="35">
        <v>660905.17656949256</v>
      </c>
    </row>
    <row r="112" spans="1:142" x14ac:dyDescent="0.25">
      <c r="A112" s="33" t="s">
        <v>253</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v>2551.4869985177265</v>
      </c>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c r="DR112" s="35"/>
      <c r="DS112" s="35"/>
      <c r="DT112" s="35"/>
      <c r="DU112" s="35"/>
      <c r="DV112" s="35"/>
      <c r="DW112" s="35"/>
      <c r="DX112" s="35"/>
      <c r="DY112" s="35"/>
      <c r="DZ112" s="35"/>
      <c r="EA112" s="35"/>
      <c r="EB112" s="35"/>
      <c r="EC112" s="35"/>
      <c r="ED112" s="35"/>
      <c r="EE112" s="35"/>
      <c r="EF112" s="35"/>
      <c r="EG112" s="35"/>
      <c r="EH112" s="35"/>
      <c r="EI112" s="35">
        <v>2681.4064369354828</v>
      </c>
      <c r="EJ112" s="35"/>
      <c r="EK112" s="35"/>
      <c r="EL112" s="35">
        <v>5232.8934354532093</v>
      </c>
    </row>
    <row r="113" spans="1:142" x14ac:dyDescent="0.25">
      <c r="A113" s="33" t="s">
        <v>252</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v>23896.734331005158</v>
      </c>
      <c r="BB113" s="35">
        <v>1356.4778570889844</v>
      </c>
      <c r="BC113" s="35">
        <v>1684.536061266135</v>
      </c>
      <c r="BD113" s="35"/>
      <c r="BE113" s="35">
        <v>5660.7799178137448</v>
      </c>
      <c r="BF113" s="35">
        <v>222.16156527132279</v>
      </c>
      <c r="BG113" s="35">
        <v>12882.07637076112</v>
      </c>
      <c r="BH113" s="35"/>
      <c r="BI113" s="35"/>
      <c r="BJ113" s="35"/>
      <c r="BK113" s="35">
        <v>95511.761661208584</v>
      </c>
      <c r="BL113" s="35">
        <v>44873.530968934312</v>
      </c>
      <c r="BM113" s="35">
        <v>4382.6276267768526</v>
      </c>
      <c r="BN113" s="35">
        <v>20322.298961141802</v>
      </c>
      <c r="BO113" s="35">
        <v>2299.4430163238608</v>
      </c>
      <c r="BP113" s="35">
        <v>4559.1049596695448</v>
      </c>
      <c r="BQ113" s="35">
        <v>10749.42001399708</v>
      </c>
      <c r="BR113" s="35">
        <v>26913.239419277586</v>
      </c>
      <c r="BS113" s="35">
        <v>22937.287676739943</v>
      </c>
      <c r="BT113" s="35">
        <v>39339.266755302873</v>
      </c>
      <c r="BU113" s="35">
        <v>44287.570759896822</v>
      </c>
      <c r="BV113" s="35">
        <v>7844.9335126376718</v>
      </c>
      <c r="BW113" s="35">
        <v>37371.134715855165</v>
      </c>
      <c r="BX113" s="35">
        <v>41614.1652551527</v>
      </c>
      <c r="BY113" s="35">
        <v>6121.33428812286</v>
      </c>
      <c r="BZ113" s="35">
        <v>26754.823687401902</v>
      </c>
      <c r="CA113" s="35">
        <v>4427.6371892288598</v>
      </c>
      <c r="CB113" s="35">
        <v>24576.309118232915</v>
      </c>
      <c r="CC113" s="35">
        <v>48540.953985558626</v>
      </c>
      <c r="CD113" s="35">
        <v>22655.212433175529</v>
      </c>
      <c r="CE113" s="35">
        <v>27679.548623987939</v>
      </c>
      <c r="CF113" s="35">
        <v>27490.69456641432</v>
      </c>
      <c r="CG113" s="35">
        <v>23177.748871278407</v>
      </c>
      <c r="CH113" s="35">
        <v>14441.048081288409</v>
      </c>
      <c r="CI113" s="35">
        <v>88408.818168387312</v>
      </c>
      <c r="CJ113" s="35">
        <v>2365.2123862746366</v>
      </c>
      <c r="CK113" s="35">
        <v>7385.5234780039536</v>
      </c>
      <c r="CL113" s="35">
        <v>11133.149859885598</v>
      </c>
      <c r="CM113" s="35"/>
      <c r="CN113" s="35"/>
      <c r="CO113" s="35"/>
      <c r="CP113" s="35"/>
      <c r="CQ113" s="35"/>
      <c r="CR113" s="35"/>
      <c r="CS113" s="35"/>
      <c r="CT113" s="35"/>
      <c r="CU113" s="35"/>
      <c r="CV113" s="35"/>
      <c r="CW113" s="35"/>
      <c r="CX113" s="35"/>
      <c r="CY113" s="35"/>
      <c r="CZ113" s="35"/>
      <c r="DA113" s="35"/>
      <c r="DB113" s="35">
        <v>428.7371447928071</v>
      </c>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v>784295.30328815524</v>
      </c>
    </row>
    <row r="114" spans="1:142" x14ac:dyDescent="0.25">
      <c r="A114" s="33" t="s">
        <v>134</v>
      </c>
      <c r="B114" s="35">
        <v>4175.5807725469886</v>
      </c>
      <c r="C114" s="35">
        <v>838.97480276604995</v>
      </c>
      <c r="D114" s="35">
        <v>183.41828805573343</v>
      </c>
      <c r="E114" s="35">
        <v>1231.3532734022197</v>
      </c>
      <c r="F114" s="35">
        <v>2307.1530276613476</v>
      </c>
      <c r="G114" s="35">
        <v>4749.2565962723284</v>
      </c>
      <c r="H114" s="35">
        <v>293.58980392936957</v>
      </c>
      <c r="I114" s="35">
        <v>19.374029040614761</v>
      </c>
      <c r="J114" s="35">
        <v>23.238169297803616</v>
      </c>
      <c r="K114" s="35">
        <v>3.9237737333352093E-5</v>
      </c>
      <c r="L114" s="35">
        <v>1661.4165310113679</v>
      </c>
      <c r="M114" s="35">
        <v>952.55202364129605</v>
      </c>
      <c r="N114" s="35">
        <v>124.10196885929525</v>
      </c>
      <c r="O114" s="35">
        <v>392.47823765892537</v>
      </c>
      <c r="P114" s="35">
        <v>1.8024676052505684</v>
      </c>
      <c r="Q114" s="35">
        <v>32.377919602830417</v>
      </c>
      <c r="R114" s="35">
        <v>1007.3336313747963</v>
      </c>
      <c r="S114" s="35">
        <v>139.9390426722816</v>
      </c>
      <c r="T114" s="35">
        <v>188.83264215642592</v>
      </c>
      <c r="U114" s="35">
        <v>21.983296387092299</v>
      </c>
      <c r="V114" s="35">
        <v>4.7005977342224412</v>
      </c>
      <c r="W114" s="35">
        <v>320.65439285627565</v>
      </c>
      <c r="X114" s="35">
        <v>70.643018487730345</v>
      </c>
      <c r="Y114" s="35">
        <v>198.7116961828647</v>
      </c>
      <c r="Z114" s="35">
        <v>25.042714733898777</v>
      </c>
      <c r="AA114" s="35">
        <v>572.48245411191249</v>
      </c>
      <c r="AB114" s="35">
        <v>562.87366882316587</v>
      </c>
      <c r="AC114" s="35">
        <v>49.821445459610928</v>
      </c>
      <c r="AD114" s="35">
        <v>1209.6313322592071</v>
      </c>
      <c r="AE114" s="35">
        <v>398.34272817957338</v>
      </c>
      <c r="AF114" s="35">
        <v>356.11249357972184</v>
      </c>
      <c r="AG114" s="35">
        <v>7.1613991924958835</v>
      </c>
      <c r="AH114" s="35">
        <v>369.9212887070492</v>
      </c>
      <c r="AI114" s="35"/>
      <c r="AJ114" s="35">
        <v>449.86941563690976</v>
      </c>
      <c r="AK114" s="35">
        <v>176.35232508504205</v>
      </c>
      <c r="AL114" s="35">
        <v>410.04551253190158</v>
      </c>
      <c r="AM114" s="35">
        <v>649.97337398785203</v>
      </c>
      <c r="AN114" s="35">
        <v>4245.1473981759718</v>
      </c>
      <c r="AO114" s="35">
        <v>8550.8376159842319</v>
      </c>
      <c r="AP114" s="35">
        <v>435.43621414760366</v>
      </c>
      <c r="AQ114" s="35"/>
      <c r="AR114" s="35">
        <v>45.214045189453252</v>
      </c>
      <c r="AS114" s="35">
        <v>283.07795750338016</v>
      </c>
      <c r="AT114" s="35">
        <v>805.39937664068918</v>
      </c>
      <c r="AU114" s="35">
        <v>2519.8495753036632</v>
      </c>
      <c r="AV114" s="35">
        <v>135.30860457243139</v>
      </c>
      <c r="AW114" s="35">
        <v>756.37380926383105</v>
      </c>
      <c r="AX114" s="35">
        <v>1649.2329093227308</v>
      </c>
      <c r="AY114" s="35">
        <v>8841.6309191126911</v>
      </c>
      <c r="AZ114" s="35">
        <v>27712.440917775602</v>
      </c>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c r="DR114" s="35"/>
      <c r="DS114" s="35"/>
      <c r="DT114" s="35"/>
      <c r="DU114" s="35"/>
      <c r="DV114" s="35"/>
      <c r="DW114" s="35"/>
      <c r="DX114" s="35"/>
      <c r="DY114" s="35"/>
      <c r="DZ114" s="35"/>
      <c r="EA114" s="35"/>
      <c r="EB114" s="35"/>
      <c r="EC114" s="35"/>
      <c r="ED114" s="35"/>
      <c r="EE114" s="35"/>
      <c r="EF114" s="35"/>
      <c r="EG114" s="35"/>
      <c r="EH114" s="35"/>
      <c r="EI114" s="35"/>
      <c r="EJ114" s="35"/>
      <c r="EK114" s="35">
        <v>483.81864604727269</v>
      </c>
      <c r="EL114" s="35">
        <v>80640.86440976875</v>
      </c>
    </row>
    <row r="115" spans="1:142" x14ac:dyDescent="0.25">
      <c r="A115" s="33" t="s">
        <v>132</v>
      </c>
      <c r="B115" s="35">
        <v>3685.9213480937151</v>
      </c>
      <c r="C115" s="35">
        <v>426.76659312655983</v>
      </c>
      <c r="D115" s="35">
        <v>161.90904564606561</v>
      </c>
      <c r="E115" s="35">
        <v>1691.9171110177235</v>
      </c>
      <c r="F115" s="35">
        <v>4418.470454693299</v>
      </c>
      <c r="G115" s="35">
        <v>6241.3215269744433</v>
      </c>
      <c r="H115" s="35">
        <v>991.88369630078034</v>
      </c>
      <c r="I115" s="35">
        <v>65.454533092936416</v>
      </c>
      <c r="J115" s="35">
        <v>78.509406491221043</v>
      </c>
      <c r="K115" s="35">
        <v>8.7343721230145333E-3</v>
      </c>
      <c r="L115" s="35">
        <v>4309.6019019980422</v>
      </c>
      <c r="M115" s="35">
        <v>1008.2123666214064</v>
      </c>
      <c r="N115" s="35">
        <v>444.69270330480032</v>
      </c>
      <c r="O115" s="35">
        <v>1023.7196780984783</v>
      </c>
      <c r="P115" s="35">
        <v>76.349346465609969</v>
      </c>
      <c r="Q115" s="35">
        <v>252.74555843457827</v>
      </c>
      <c r="R115" s="35">
        <v>1913.9363012929534</v>
      </c>
      <c r="S115" s="35">
        <v>693.96361760827153</v>
      </c>
      <c r="T115" s="35">
        <v>598.92765194735841</v>
      </c>
      <c r="U115" s="35">
        <v>184.15183409249457</v>
      </c>
      <c r="V115" s="35">
        <v>1046.3592602828169</v>
      </c>
      <c r="W115" s="35">
        <v>1381.5137123481115</v>
      </c>
      <c r="X115" s="35">
        <v>410.82889112642761</v>
      </c>
      <c r="Y115" s="35">
        <v>1869.3682446583123</v>
      </c>
      <c r="Z115" s="35">
        <v>279.5239974305166</v>
      </c>
      <c r="AA115" s="35">
        <v>861.72075012872028</v>
      </c>
      <c r="AB115" s="35">
        <v>3728.5057443102592</v>
      </c>
      <c r="AC115" s="35">
        <v>262.87091310409431</v>
      </c>
      <c r="AD115" s="35">
        <v>3701.6284868829316</v>
      </c>
      <c r="AE115" s="35">
        <v>1328.6549634838259</v>
      </c>
      <c r="AF115" s="35">
        <v>1163.9247392154793</v>
      </c>
      <c r="AG115" s="35">
        <v>672.37186979921614</v>
      </c>
      <c r="AH115" s="35">
        <v>1364.4123166805946</v>
      </c>
      <c r="AI115" s="35">
        <v>625.2052940965882</v>
      </c>
      <c r="AJ115" s="35">
        <v>918.2387252481069</v>
      </c>
      <c r="AK115" s="35">
        <v>525.84419075919516</v>
      </c>
      <c r="AL115" s="35">
        <v>483.18418170699516</v>
      </c>
      <c r="AM115" s="35">
        <v>734.53042103609357</v>
      </c>
      <c r="AN115" s="35">
        <v>6865.1572200323917</v>
      </c>
      <c r="AO115" s="35">
        <v>19808.669189783453</v>
      </c>
      <c r="AP115" s="35">
        <v>1377.8917776447095</v>
      </c>
      <c r="AQ115" s="35">
        <v>0.12389517147112057</v>
      </c>
      <c r="AR115" s="35">
        <v>39.310616821842899</v>
      </c>
      <c r="AS115" s="35">
        <v>639.12818379159876</v>
      </c>
      <c r="AT115" s="35">
        <v>1937.7800790336676</v>
      </c>
      <c r="AU115" s="35">
        <v>6062.7242220517492</v>
      </c>
      <c r="AV115" s="35">
        <v>732.87382400355318</v>
      </c>
      <c r="AW115" s="35">
        <v>886.27816975921633</v>
      </c>
      <c r="AX115" s="35">
        <v>5520.1760020397542</v>
      </c>
      <c r="AY115" s="35">
        <v>18261.074103425653</v>
      </c>
      <c r="AZ115" s="35">
        <v>33898.476501937621</v>
      </c>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v>879.16766163215289</v>
      </c>
      <c r="EL115" s="35">
        <v>146535.98155909995</v>
      </c>
    </row>
    <row r="116" spans="1:142" x14ac:dyDescent="0.25">
      <c r="A116" s="33" t="s">
        <v>130</v>
      </c>
      <c r="B116" s="35">
        <v>3662.3760663054177</v>
      </c>
      <c r="C116" s="35">
        <v>391.82899114724205</v>
      </c>
      <c r="D116" s="35">
        <v>480.52079490350116</v>
      </c>
      <c r="E116" s="35">
        <v>4393.0382686078292</v>
      </c>
      <c r="F116" s="35">
        <v>11612.668366175927</v>
      </c>
      <c r="G116" s="35">
        <v>13276.679677409393</v>
      </c>
      <c r="H116" s="35">
        <v>1871.1294600775018</v>
      </c>
      <c r="I116" s="35">
        <v>123.47607448592635</v>
      </c>
      <c r="J116" s="35">
        <v>148.10331486119819</v>
      </c>
      <c r="K116" s="35">
        <v>3.2333032054068407E-2</v>
      </c>
      <c r="L116" s="35">
        <v>10160.505689394238</v>
      </c>
      <c r="M116" s="35">
        <v>2348.5742111963409</v>
      </c>
      <c r="N116" s="35">
        <v>1182.4007712573218</v>
      </c>
      <c r="O116" s="35">
        <v>1450.4096059772514</v>
      </c>
      <c r="P116" s="35">
        <v>300.21555309415845</v>
      </c>
      <c r="Q116" s="35">
        <v>371.34323913899226</v>
      </c>
      <c r="R116" s="35">
        <v>2380.1810236875012</v>
      </c>
      <c r="S116" s="35">
        <v>1622.6752816509947</v>
      </c>
      <c r="T116" s="35">
        <v>2278.3260266898005</v>
      </c>
      <c r="U116" s="35">
        <v>609.02158011041649</v>
      </c>
      <c r="V116" s="35">
        <v>3873.4286822575918</v>
      </c>
      <c r="W116" s="35">
        <v>4435.5250790410937</v>
      </c>
      <c r="X116" s="35">
        <v>1091.7747142520632</v>
      </c>
      <c r="Y116" s="35">
        <v>4129.7835335577502</v>
      </c>
      <c r="Z116" s="35">
        <v>1357.900651248706</v>
      </c>
      <c r="AA116" s="35">
        <v>1150.4879545254892</v>
      </c>
      <c r="AB116" s="35">
        <v>4437.650818406024</v>
      </c>
      <c r="AC116" s="35">
        <v>845.51025795881344</v>
      </c>
      <c r="AD116" s="35">
        <v>7056.1629469712561</v>
      </c>
      <c r="AE116" s="35">
        <v>3777.1254691134232</v>
      </c>
      <c r="AF116" s="35">
        <v>1344.5007336905694</v>
      </c>
      <c r="AG116" s="35">
        <v>383.81853776121642</v>
      </c>
      <c r="AH116" s="35">
        <v>4113.4443394227319</v>
      </c>
      <c r="AI116" s="35">
        <v>941.44403804086619</v>
      </c>
      <c r="AJ116" s="35">
        <v>1740.2310485421426</v>
      </c>
      <c r="AK116" s="35">
        <v>1483.5310344733182</v>
      </c>
      <c r="AL116" s="35">
        <v>2443.7872932143941</v>
      </c>
      <c r="AM116" s="35">
        <v>1397.5044060188457</v>
      </c>
      <c r="AN116" s="35">
        <v>12365.221428957344</v>
      </c>
      <c r="AO116" s="35">
        <v>47167.767918842612</v>
      </c>
      <c r="AP116" s="35">
        <v>3916.6480867925738</v>
      </c>
      <c r="AQ116" s="35">
        <v>31.532127035917494</v>
      </c>
      <c r="AR116" s="35">
        <v>474.97335884155223</v>
      </c>
      <c r="AS116" s="35">
        <v>3519.0724539738153</v>
      </c>
      <c r="AT116" s="35">
        <v>3586.8538577558998</v>
      </c>
      <c r="AU116" s="35">
        <v>11222.17428059267</v>
      </c>
      <c r="AV116" s="35">
        <v>3958.798314603534</v>
      </c>
      <c r="AW116" s="35">
        <v>31939.095485353981</v>
      </c>
      <c r="AX116" s="35">
        <v>22290.029352149733</v>
      </c>
      <c r="AY116" s="35">
        <v>100681.48876830139</v>
      </c>
      <c r="AZ116" s="35">
        <v>24549.167311864079</v>
      </c>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c r="DR116" s="35"/>
      <c r="DS116" s="35"/>
      <c r="DT116" s="35"/>
      <c r="DU116" s="35"/>
      <c r="DV116" s="35"/>
      <c r="DW116" s="35"/>
      <c r="DX116" s="35"/>
      <c r="DY116" s="35"/>
      <c r="DZ116" s="35"/>
      <c r="EA116" s="35"/>
      <c r="EB116" s="35"/>
      <c r="EC116" s="35"/>
      <c r="ED116" s="35"/>
      <c r="EE116" s="35"/>
      <c r="EF116" s="35"/>
      <c r="EG116" s="35"/>
      <c r="EH116" s="35"/>
      <c r="EI116" s="35"/>
      <c r="EJ116" s="35"/>
      <c r="EK116" s="35">
        <v>2235.5100727149988</v>
      </c>
      <c r="EL116" s="35">
        <v>372605.45068547945</v>
      </c>
    </row>
    <row r="117" spans="1:142" x14ac:dyDescent="0.25">
      <c r="A117" s="33" t="s">
        <v>128</v>
      </c>
      <c r="B117" s="35">
        <v>6572.7754741416093</v>
      </c>
      <c r="C117" s="35">
        <v>618.26896196496102</v>
      </c>
      <c r="D117" s="35">
        <v>311.07943867258734</v>
      </c>
      <c r="E117" s="35">
        <v>10171.794272558243</v>
      </c>
      <c r="F117" s="35">
        <v>13987.432478524532</v>
      </c>
      <c r="G117" s="35">
        <v>22811.425238869211</v>
      </c>
      <c r="H117" s="35">
        <v>8437.6231925328066</v>
      </c>
      <c r="I117" s="35">
        <v>556.79984310770647</v>
      </c>
      <c r="J117" s="35">
        <v>667.85328916368769</v>
      </c>
      <c r="K117" s="35">
        <v>3.9351036250639571E-2</v>
      </c>
      <c r="L117" s="35">
        <v>18954.629991051817</v>
      </c>
      <c r="M117" s="35">
        <v>8562.0734642942462</v>
      </c>
      <c r="N117" s="35">
        <v>1689.1124171509116</v>
      </c>
      <c r="O117" s="35">
        <v>1953.0479458436789</v>
      </c>
      <c r="P117" s="35">
        <v>119.6562770862848</v>
      </c>
      <c r="Q117" s="35">
        <v>652.52561844930756</v>
      </c>
      <c r="R117" s="35">
        <v>2081.462046714727</v>
      </c>
      <c r="S117" s="35">
        <v>4948.5979276580674</v>
      </c>
      <c r="T117" s="35">
        <v>8721.7792902603032</v>
      </c>
      <c r="U117" s="35">
        <v>3414.6862954152284</v>
      </c>
      <c r="V117" s="35">
        <v>4714.1707042784556</v>
      </c>
      <c r="W117" s="35">
        <v>14245.563057809975</v>
      </c>
      <c r="X117" s="35">
        <v>1013.3409460983273</v>
      </c>
      <c r="Y117" s="35">
        <v>4355.89199123871</v>
      </c>
      <c r="Z117" s="35">
        <v>768.91775605971714</v>
      </c>
      <c r="AA117" s="35">
        <v>1928.1768211006274</v>
      </c>
      <c r="AB117" s="35">
        <v>4245.29876158144</v>
      </c>
      <c r="AC117" s="35">
        <v>2930.4211526692011</v>
      </c>
      <c r="AD117" s="35">
        <v>7836.8396470407524</v>
      </c>
      <c r="AE117" s="35">
        <v>11846.653645267492</v>
      </c>
      <c r="AF117" s="35">
        <v>2995.4441706576472</v>
      </c>
      <c r="AG117" s="35">
        <v>2553.1423345374033</v>
      </c>
      <c r="AH117" s="35">
        <v>13998.310800209123</v>
      </c>
      <c r="AI117" s="35">
        <v>2580.4442659900856</v>
      </c>
      <c r="AJ117" s="35">
        <v>759.09887765912686</v>
      </c>
      <c r="AK117" s="35">
        <v>2042.4070773363956</v>
      </c>
      <c r="AL117" s="35">
        <v>19860.749343305117</v>
      </c>
      <c r="AM117" s="35">
        <v>3563.3458223373395</v>
      </c>
      <c r="AN117" s="35">
        <v>19779.486936345242</v>
      </c>
      <c r="AO117" s="35">
        <v>81615.507913453403</v>
      </c>
      <c r="AP117" s="35">
        <v>4969.2440479347988</v>
      </c>
      <c r="AQ117" s="35">
        <v>64.843766864374444</v>
      </c>
      <c r="AR117" s="35">
        <v>1939.1786507475622</v>
      </c>
      <c r="AS117" s="35">
        <v>10336.287522332061</v>
      </c>
      <c r="AT117" s="35">
        <v>4773.6283381904886</v>
      </c>
      <c r="AU117" s="35">
        <v>14935.230507402322</v>
      </c>
      <c r="AV117" s="35">
        <v>18775.409348660101</v>
      </c>
      <c r="AW117" s="35">
        <v>103999.40586421493</v>
      </c>
      <c r="AX117" s="35">
        <v>65644.899162520378</v>
      </c>
      <c r="AY117" s="35">
        <v>288581.09492128185</v>
      </c>
      <c r="AZ117" s="35">
        <v>44783.102756428016</v>
      </c>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v>5297.5036196055762</v>
      </c>
      <c r="EL117" s="35">
        <v>882965.70334565418</v>
      </c>
    </row>
    <row r="118" spans="1:142" x14ac:dyDescent="0.25">
      <c r="A118" s="33" t="s">
        <v>251</v>
      </c>
      <c r="B118" s="35">
        <v>41346.07000605519</v>
      </c>
      <c r="C118" s="35">
        <v>5148.7772996234144</v>
      </c>
      <c r="D118" s="35">
        <v>1792.7636274404445</v>
      </c>
      <c r="E118" s="35">
        <v>48932.262555883899</v>
      </c>
      <c r="F118" s="35">
        <v>16222.445084322033</v>
      </c>
      <c r="G118" s="35">
        <v>73823.157302075357</v>
      </c>
      <c r="H118" s="35">
        <v>19841.805083297219</v>
      </c>
      <c r="I118" s="35">
        <v>1309.3632774607488</v>
      </c>
      <c r="J118" s="35">
        <v>1570.515118469875</v>
      </c>
      <c r="K118" s="35">
        <v>4.3504316595844764E-2</v>
      </c>
      <c r="L118" s="35">
        <v>29397.222620938814</v>
      </c>
      <c r="M118" s="35">
        <v>15742.12062818839</v>
      </c>
      <c r="N118" s="35">
        <v>908.70484763668367</v>
      </c>
      <c r="O118" s="35">
        <v>108.10661571362202</v>
      </c>
      <c r="P118" s="35">
        <v>171.96043709355428</v>
      </c>
      <c r="Q118" s="35">
        <v>76.451916647957233</v>
      </c>
      <c r="R118" s="35">
        <v>8451.5835979530257</v>
      </c>
      <c r="S118" s="35">
        <v>10376.232955182761</v>
      </c>
      <c r="T118" s="35">
        <v>281.33186067809942</v>
      </c>
      <c r="U118" s="35">
        <v>23286.46521872513</v>
      </c>
      <c r="V118" s="35">
        <v>5211.7248831650049</v>
      </c>
      <c r="W118" s="35">
        <v>2789.7672487795917</v>
      </c>
      <c r="X118" s="35">
        <v>1042.6099410598783</v>
      </c>
      <c r="Y118" s="35">
        <v>603.87036159732611</v>
      </c>
      <c r="Z118" s="35">
        <v>366.41081268253276</v>
      </c>
      <c r="AA118" s="35">
        <v>6802.6866460981746</v>
      </c>
      <c r="AB118" s="35">
        <v>357.37401204565106</v>
      </c>
      <c r="AC118" s="35">
        <v>6037.0362097128846</v>
      </c>
      <c r="AD118" s="35">
        <v>3054.1229881371655</v>
      </c>
      <c r="AE118" s="35">
        <v>7378.9380754579297</v>
      </c>
      <c r="AF118" s="35">
        <v>156.41731131689627</v>
      </c>
      <c r="AG118" s="35">
        <v>1463.4649484582119</v>
      </c>
      <c r="AH118" s="35">
        <v>2677.9530053992062</v>
      </c>
      <c r="AI118" s="35">
        <v>364.30568014619928</v>
      </c>
      <c r="AJ118" s="35">
        <v>44.534696955623879</v>
      </c>
      <c r="AK118" s="35">
        <v>11871.384744953875</v>
      </c>
      <c r="AL118" s="35"/>
      <c r="AM118" s="35">
        <v>15504.447770233704</v>
      </c>
      <c r="AN118" s="35">
        <v>47268.441629700552</v>
      </c>
      <c r="AO118" s="35">
        <v>164570.03147943458</v>
      </c>
      <c r="AP118" s="35">
        <v>14452.117831240445</v>
      </c>
      <c r="AQ118" s="35">
        <v>1038.6533315829258</v>
      </c>
      <c r="AR118" s="35">
        <v>8764.8880525972872</v>
      </c>
      <c r="AS118" s="35">
        <v>16711.10195777093</v>
      </c>
      <c r="AT118" s="35">
        <v>26956.163282907062</v>
      </c>
      <c r="AU118" s="35">
        <v>84337.632447104552</v>
      </c>
      <c r="AV118" s="35">
        <v>41934.01382813845</v>
      </c>
      <c r="AW118" s="35">
        <v>138835.47166011587</v>
      </c>
      <c r="AX118" s="35">
        <v>184184.53731183981</v>
      </c>
      <c r="AY118" s="35">
        <v>60407.297048494387</v>
      </c>
      <c r="AZ118" s="35">
        <v>204685.42625209218</v>
      </c>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v>39604.999999994761</v>
      </c>
      <c r="EL118" s="35">
        <v>1398265.2090069167</v>
      </c>
    </row>
    <row r="119" spans="1:142" x14ac:dyDescent="0.25">
      <c r="A119" s="33" t="s">
        <v>250</v>
      </c>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v>61052.790993083603</v>
      </c>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c r="DR119" s="35"/>
      <c r="DS119" s="35"/>
      <c r="DT119" s="35"/>
      <c r="DU119" s="35"/>
      <c r="DV119" s="35"/>
      <c r="DW119" s="35"/>
      <c r="DX119" s="35"/>
      <c r="DY119" s="35"/>
      <c r="DZ119" s="35"/>
      <c r="EA119" s="35"/>
      <c r="EB119" s="35"/>
      <c r="EC119" s="35"/>
      <c r="ED119" s="35"/>
      <c r="EE119" s="35"/>
      <c r="EF119" s="35"/>
      <c r="EG119" s="35"/>
      <c r="EH119" s="35"/>
      <c r="EI119" s="35"/>
      <c r="EJ119" s="35"/>
      <c r="EK119" s="35"/>
      <c r="EL119" s="35">
        <v>61052.790993083603</v>
      </c>
    </row>
    <row r="120" spans="1:142" x14ac:dyDescent="0.25">
      <c r="A120" s="33" t="s">
        <v>249</v>
      </c>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v>781770.59755602933</v>
      </c>
      <c r="DI120" s="35"/>
      <c r="DJ120" s="35">
        <v>231393</v>
      </c>
      <c r="DK120" s="35"/>
      <c r="DL120" s="35">
        <v>2.4166042336183455</v>
      </c>
      <c r="DM120" s="35">
        <v>55.520065929469254</v>
      </c>
      <c r="DN120" s="35">
        <v>351.85427131912547</v>
      </c>
      <c r="DO120" s="35">
        <v>692.11010806595527</v>
      </c>
      <c r="DP120" s="35">
        <v>2518.0896928702223</v>
      </c>
      <c r="DQ120" s="35">
        <v>3882.3294823550136</v>
      </c>
      <c r="DR120" s="35">
        <v>8701.0903384874418</v>
      </c>
      <c r="DS120" s="35">
        <v>22471.278779701821</v>
      </c>
      <c r="DT120" s="35">
        <v>59735.510656490915</v>
      </c>
      <c r="DU120" s="35">
        <v>23474.992900512665</v>
      </c>
      <c r="DV120" s="35">
        <v>28032.994143993445</v>
      </c>
      <c r="DW120" s="35">
        <v>28412.283300055249</v>
      </c>
      <c r="DX120" s="35">
        <v>26260.317764839503</v>
      </c>
      <c r="DY120" s="35">
        <v>48368.211891145591</v>
      </c>
      <c r="DZ120" s="35">
        <v>286816.00000000006</v>
      </c>
      <c r="EA120" s="35"/>
      <c r="EB120" s="35"/>
      <c r="EC120" s="35"/>
      <c r="ED120" s="35"/>
      <c r="EE120" s="35"/>
      <c r="EF120" s="35">
        <v>2.5011104298755527E-12</v>
      </c>
      <c r="EG120" s="35">
        <v>-9.6633812063373625E-13</v>
      </c>
      <c r="EH120" s="35"/>
      <c r="EI120" s="35"/>
      <c r="EJ120" s="35"/>
      <c r="EK120" s="35"/>
      <c r="EL120" s="35">
        <v>1552938.5975560294</v>
      </c>
    </row>
    <row r="121" spans="1:142" x14ac:dyDescent="0.25">
      <c r="A121" s="33" t="s">
        <v>248</v>
      </c>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v>61052.790993083603</v>
      </c>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v>-4.5474735088646412E-13</v>
      </c>
      <c r="EF121" s="35"/>
      <c r="EG121" s="35"/>
      <c r="EH121" s="35"/>
      <c r="EI121" s="35"/>
      <c r="EJ121" s="35"/>
      <c r="EK121" s="35"/>
      <c r="EL121" s="35">
        <v>61052.790993083603</v>
      </c>
    </row>
    <row r="122" spans="1:142" x14ac:dyDescent="0.25">
      <c r="A122" s="33" t="s">
        <v>247</v>
      </c>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v>6721.7424946790625</v>
      </c>
      <c r="DE122" s="35">
        <v>4888.762128471436</v>
      </c>
      <c r="DF122" s="35">
        <v>2337.9643586155189</v>
      </c>
      <c r="DG122" s="35">
        <v>406.67472750048199</v>
      </c>
      <c r="DH122" s="35">
        <v>824.03257485013626</v>
      </c>
      <c r="DI122" s="35"/>
      <c r="DJ122" s="35">
        <v>503.88448209600944</v>
      </c>
      <c r="DK122" s="35"/>
      <c r="DL122" s="35"/>
      <c r="DM122" s="35"/>
      <c r="DN122" s="35"/>
      <c r="DO122" s="35"/>
      <c r="DP122" s="35"/>
      <c r="DQ122" s="35"/>
      <c r="DR122" s="35"/>
      <c r="DS122" s="35"/>
      <c r="DT122" s="35"/>
      <c r="DU122" s="35"/>
      <c r="DV122" s="35"/>
      <c r="DW122" s="35"/>
      <c r="DX122" s="35"/>
      <c r="DY122" s="35"/>
      <c r="DZ122" s="35">
        <v>28389.73060675446</v>
      </c>
      <c r="EA122" s="35"/>
      <c r="EB122" s="35"/>
      <c r="EC122" s="35"/>
      <c r="ED122" s="35"/>
      <c r="EE122" s="35"/>
      <c r="EF122" s="35"/>
      <c r="EG122" s="35"/>
      <c r="EH122" s="35"/>
      <c r="EI122" s="35"/>
      <c r="EJ122" s="35"/>
      <c r="EK122" s="35">
        <v>11.564585936616515</v>
      </c>
      <c r="EL122" s="35">
        <v>44084.355958903725</v>
      </c>
    </row>
    <row r="123" spans="1:142" x14ac:dyDescent="0.25">
      <c r="A123" s="33" t="s">
        <v>246</v>
      </c>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v>9593.8801503583418</v>
      </c>
      <c r="DE123" s="35">
        <v>6111.331533205338</v>
      </c>
      <c r="DF123" s="35">
        <v>4437.8584642129163</v>
      </c>
      <c r="DG123" s="35">
        <v>1648.3934134634189</v>
      </c>
      <c r="DH123" s="35">
        <v>1421.4241807665242</v>
      </c>
      <c r="DI123" s="35"/>
      <c r="DJ123" s="35">
        <v>774.15781586337209</v>
      </c>
      <c r="DK123" s="35"/>
      <c r="DL123" s="35"/>
      <c r="DM123" s="35"/>
      <c r="DN123" s="35"/>
      <c r="DO123" s="35"/>
      <c r="DP123" s="35"/>
      <c r="DQ123" s="35"/>
      <c r="DR123" s="35"/>
      <c r="DS123" s="35"/>
      <c r="DT123" s="35"/>
      <c r="DU123" s="35"/>
      <c r="DV123" s="35"/>
      <c r="DW123" s="35"/>
      <c r="DX123" s="35"/>
      <c r="DY123" s="35"/>
      <c r="DZ123" s="35">
        <v>36663.950171325858</v>
      </c>
      <c r="EA123" s="35"/>
      <c r="EB123" s="35"/>
      <c r="EC123" s="35"/>
      <c r="ED123" s="35"/>
      <c r="EE123" s="35"/>
      <c r="EF123" s="35"/>
      <c r="EG123" s="35"/>
      <c r="EH123" s="35"/>
      <c r="EI123" s="35"/>
      <c r="EJ123" s="35"/>
      <c r="EK123" s="35">
        <v>25.04202258777493</v>
      </c>
      <c r="EL123" s="35">
        <v>60676.037751783544</v>
      </c>
    </row>
    <row r="124" spans="1:142" x14ac:dyDescent="0.25">
      <c r="A124" s="33" t="s">
        <v>245</v>
      </c>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v>11120.909121539033</v>
      </c>
      <c r="DE124" s="35">
        <v>8910.1433005009894</v>
      </c>
      <c r="DF124" s="35">
        <v>10690.177400489345</v>
      </c>
      <c r="DG124" s="35">
        <v>3151.2732648789129</v>
      </c>
      <c r="DH124" s="35">
        <v>2794.3077531428162</v>
      </c>
      <c r="DI124" s="35"/>
      <c r="DJ124" s="35">
        <v>1896.9277611452551</v>
      </c>
      <c r="DK124" s="35"/>
      <c r="DL124" s="35"/>
      <c r="DM124" s="35"/>
      <c r="DN124" s="35"/>
      <c r="DO124" s="35"/>
      <c r="DP124" s="35"/>
      <c r="DQ124" s="35"/>
      <c r="DR124" s="35"/>
      <c r="DS124" s="35"/>
      <c r="DT124" s="35"/>
      <c r="DU124" s="35"/>
      <c r="DV124" s="35"/>
      <c r="DW124" s="35"/>
      <c r="DX124" s="35"/>
      <c r="DY124" s="35"/>
      <c r="DZ124" s="35">
        <v>37083.035723041707</v>
      </c>
      <c r="EA124" s="35"/>
      <c r="EB124" s="35"/>
      <c r="EC124" s="35"/>
      <c r="ED124" s="35"/>
      <c r="EE124" s="35"/>
      <c r="EF124" s="35"/>
      <c r="EG124" s="35"/>
      <c r="EH124" s="35"/>
      <c r="EI124" s="35"/>
      <c r="EJ124" s="35"/>
      <c r="EK124" s="35">
        <v>47.285824017984396</v>
      </c>
      <c r="EL124" s="35">
        <v>75694.060148756034</v>
      </c>
    </row>
    <row r="125" spans="1:142" x14ac:dyDescent="0.25">
      <c r="A125" s="33" t="s">
        <v>244</v>
      </c>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v>11578.864424242127</v>
      </c>
      <c r="DE125" s="35">
        <v>14253.479107898311</v>
      </c>
      <c r="DF125" s="35">
        <v>12896.646332436541</v>
      </c>
      <c r="DG125" s="35">
        <v>5098.2669200021037</v>
      </c>
      <c r="DH125" s="35">
        <v>4265.994610255575</v>
      </c>
      <c r="DI125" s="35"/>
      <c r="DJ125" s="35">
        <v>3234.6677281001498</v>
      </c>
      <c r="DK125" s="35"/>
      <c r="DL125" s="35"/>
      <c r="DM125" s="35"/>
      <c r="DN125" s="35"/>
      <c r="DO125" s="35"/>
      <c r="DP125" s="35"/>
      <c r="DQ125" s="35"/>
      <c r="DR125" s="35"/>
      <c r="DS125" s="35"/>
      <c r="DT125" s="35"/>
      <c r="DU125" s="35"/>
      <c r="DV125" s="35"/>
      <c r="DW125" s="35"/>
      <c r="DX125" s="35"/>
      <c r="DY125" s="35"/>
      <c r="DZ125" s="35">
        <v>36403.259960741576</v>
      </c>
      <c r="EA125" s="35"/>
      <c r="EB125" s="35"/>
      <c r="EC125" s="35"/>
      <c r="ED125" s="35"/>
      <c r="EE125" s="35"/>
      <c r="EF125" s="35"/>
      <c r="EG125" s="35"/>
      <c r="EH125" s="35"/>
      <c r="EI125" s="35"/>
      <c r="EJ125" s="35"/>
      <c r="EK125" s="35">
        <v>75.430420756278735</v>
      </c>
      <c r="EL125" s="35">
        <v>87806.609504432665</v>
      </c>
    </row>
    <row r="126" spans="1:142" x14ac:dyDescent="0.25">
      <c r="A126" s="33" t="s">
        <v>243</v>
      </c>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v>10862.675509066399</v>
      </c>
      <c r="DE126" s="35">
        <v>15477.571773987895</v>
      </c>
      <c r="DF126" s="35">
        <v>22963.679500054179</v>
      </c>
      <c r="DG126" s="35">
        <v>9392.4035972107813</v>
      </c>
      <c r="DH126" s="35">
        <v>6004.3613314833419</v>
      </c>
      <c r="DI126" s="35"/>
      <c r="DJ126" s="35">
        <v>5625.0577736963023</v>
      </c>
      <c r="DK126" s="35"/>
      <c r="DL126" s="35"/>
      <c r="DM126" s="35"/>
      <c r="DN126" s="35"/>
      <c r="DO126" s="35"/>
      <c r="DP126" s="35"/>
      <c r="DQ126" s="35"/>
      <c r="DR126" s="35"/>
      <c r="DS126" s="35"/>
      <c r="DT126" s="35"/>
      <c r="DU126" s="35"/>
      <c r="DV126" s="35"/>
      <c r="DW126" s="35"/>
      <c r="DX126" s="35"/>
      <c r="DY126" s="35"/>
      <c r="DZ126" s="35">
        <v>33484.214924695894</v>
      </c>
      <c r="EA126" s="35"/>
      <c r="EB126" s="35"/>
      <c r="EC126" s="35"/>
      <c r="ED126" s="35"/>
      <c r="EE126" s="35"/>
      <c r="EF126" s="35"/>
      <c r="EG126" s="35"/>
      <c r="EH126" s="35"/>
      <c r="EI126" s="35"/>
      <c r="EJ126" s="35"/>
      <c r="EK126" s="35">
        <v>116.60083342194035</v>
      </c>
      <c r="EL126" s="35">
        <v>103926.56524361674</v>
      </c>
    </row>
    <row r="127" spans="1:142" x14ac:dyDescent="0.25">
      <c r="A127" s="33" t="s">
        <v>242</v>
      </c>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v>10202.0013229453</v>
      </c>
      <c r="DE127" s="35">
        <v>19876.871062312748</v>
      </c>
      <c r="DF127" s="35">
        <v>28952.671989279435</v>
      </c>
      <c r="DG127" s="35">
        <v>22310.675635201489</v>
      </c>
      <c r="DH127" s="35">
        <v>9833.9733553365604</v>
      </c>
      <c r="DI127" s="35"/>
      <c r="DJ127" s="35">
        <v>11781.703113544156</v>
      </c>
      <c r="DK127" s="35"/>
      <c r="DL127" s="35"/>
      <c r="DM127" s="35"/>
      <c r="DN127" s="35"/>
      <c r="DO127" s="35"/>
      <c r="DP127" s="35"/>
      <c r="DQ127" s="35"/>
      <c r="DR127" s="35"/>
      <c r="DS127" s="35"/>
      <c r="DT127" s="35"/>
      <c r="DU127" s="35"/>
      <c r="DV127" s="35"/>
      <c r="DW127" s="35"/>
      <c r="DX127" s="35"/>
      <c r="DY127" s="35"/>
      <c r="DZ127" s="35">
        <v>24472.027145310865</v>
      </c>
      <c r="EA127" s="35"/>
      <c r="EB127" s="35"/>
      <c r="EC127" s="35"/>
      <c r="ED127" s="35"/>
      <c r="EE127" s="35"/>
      <c r="EF127" s="35"/>
      <c r="EG127" s="35"/>
      <c r="EH127" s="35"/>
      <c r="EI127" s="35"/>
      <c r="EJ127" s="35"/>
      <c r="EK127" s="35">
        <v>164.80811534239442</v>
      </c>
      <c r="EL127" s="35">
        <v>127594.73173927295</v>
      </c>
    </row>
    <row r="128" spans="1:142" x14ac:dyDescent="0.25">
      <c r="A128" s="33" t="s">
        <v>241</v>
      </c>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v>8110.4984896827082</v>
      </c>
      <c r="DE128" s="35">
        <v>18019.215597578539</v>
      </c>
      <c r="DF128" s="35">
        <v>50106.986714551109</v>
      </c>
      <c r="DG128" s="35">
        <v>36305.790649791925</v>
      </c>
      <c r="DH128" s="35">
        <v>15248.093975700007</v>
      </c>
      <c r="DI128" s="35"/>
      <c r="DJ128" s="35">
        <v>19850.165973902302</v>
      </c>
      <c r="DK128" s="35"/>
      <c r="DL128" s="35"/>
      <c r="DM128" s="35"/>
      <c r="DN128" s="35"/>
      <c r="DO128" s="35"/>
      <c r="DP128" s="35"/>
      <c r="DQ128" s="35"/>
      <c r="DR128" s="35"/>
      <c r="DS128" s="35"/>
      <c r="DT128" s="35"/>
      <c r="DU128" s="35"/>
      <c r="DV128" s="35"/>
      <c r="DW128" s="35"/>
      <c r="DX128" s="35"/>
      <c r="DY128" s="35"/>
      <c r="DZ128" s="35">
        <v>22413.938737558026</v>
      </c>
      <c r="EA128" s="35"/>
      <c r="EB128" s="35"/>
      <c r="EC128" s="35"/>
      <c r="ED128" s="35"/>
      <c r="EE128" s="35"/>
      <c r="EF128" s="35"/>
      <c r="EG128" s="35"/>
      <c r="EH128" s="35"/>
      <c r="EI128" s="35"/>
      <c r="EJ128" s="35"/>
      <c r="EK128" s="35">
        <v>341.1889178543554</v>
      </c>
      <c r="EL128" s="35">
        <v>170395.87905661899</v>
      </c>
    </row>
    <row r="129" spans="1:142" x14ac:dyDescent="0.25">
      <c r="A129" s="33" t="s">
        <v>240</v>
      </c>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v>5788.2118061129677</v>
      </c>
      <c r="DE129" s="35">
        <v>26255.2805232178</v>
      </c>
      <c r="DF129" s="35">
        <v>54683.16665409194</v>
      </c>
      <c r="DG129" s="35">
        <v>88000.237397311561</v>
      </c>
      <c r="DH129" s="35">
        <v>29741.554463756587</v>
      </c>
      <c r="DI129" s="35"/>
      <c r="DJ129" s="35">
        <v>40930.828766866529</v>
      </c>
      <c r="DK129" s="35"/>
      <c r="DL129" s="35"/>
      <c r="DM129" s="35"/>
      <c r="DN129" s="35"/>
      <c r="DO129" s="35"/>
      <c r="DP129" s="35"/>
      <c r="DQ129" s="35"/>
      <c r="DR129" s="35"/>
      <c r="DS129" s="35"/>
      <c r="DT129" s="35"/>
      <c r="DU129" s="35"/>
      <c r="DV129" s="35"/>
      <c r="DW129" s="35"/>
      <c r="DX129" s="35"/>
      <c r="DY129" s="35"/>
      <c r="DZ129" s="35">
        <v>17500.821949717276</v>
      </c>
      <c r="EA129" s="35"/>
      <c r="EB129" s="35"/>
      <c r="EC129" s="35"/>
      <c r="ED129" s="35"/>
      <c r="EE129" s="35"/>
      <c r="EF129" s="35"/>
      <c r="EG129" s="35"/>
      <c r="EH129" s="35"/>
      <c r="EI129" s="35"/>
      <c r="EJ129" s="35"/>
      <c r="EK129" s="35">
        <v>688.32629442177563</v>
      </c>
      <c r="EL129" s="35">
        <v>263588.42785549647</v>
      </c>
    </row>
    <row r="130" spans="1:142" x14ac:dyDescent="0.25">
      <c r="A130" s="33" t="s">
        <v>239</v>
      </c>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v>4517.8300868108545</v>
      </c>
      <c r="DE130" s="35">
        <v>18914.153774825849</v>
      </c>
      <c r="DF130" s="35">
        <v>83526.425327875564</v>
      </c>
      <c r="DG130" s="35">
        <v>208005.33964794088</v>
      </c>
      <c r="DH130" s="35">
        <v>94553.484988240758</v>
      </c>
      <c r="DI130" s="35"/>
      <c r="DJ130" s="35">
        <v>94320.998508837132</v>
      </c>
      <c r="DK130" s="35"/>
      <c r="DL130" s="35"/>
      <c r="DM130" s="35"/>
      <c r="DN130" s="35"/>
      <c r="DO130" s="35"/>
      <c r="DP130" s="35"/>
      <c r="DQ130" s="35"/>
      <c r="DR130" s="35"/>
      <c r="DS130" s="35"/>
      <c r="DT130" s="35"/>
      <c r="DU130" s="35"/>
      <c r="DV130" s="35"/>
      <c r="DW130" s="35"/>
      <c r="DX130" s="35"/>
      <c r="DY130" s="35"/>
      <c r="DZ130" s="35">
        <v>17467.85876461005</v>
      </c>
      <c r="EA130" s="35"/>
      <c r="EB130" s="35"/>
      <c r="EC130" s="35"/>
      <c r="ED130" s="35"/>
      <c r="EE130" s="35"/>
      <c r="EF130" s="35"/>
      <c r="EG130" s="35"/>
      <c r="EH130" s="35"/>
      <c r="EI130" s="35"/>
      <c r="EJ130" s="35"/>
      <c r="EK130" s="35">
        <v>2494.3097545911373</v>
      </c>
      <c r="EL130" s="35">
        <v>523800.40085373219</v>
      </c>
    </row>
    <row r="131" spans="1:142" x14ac:dyDescent="0.25">
      <c r="A131" s="33" t="s">
        <v>238</v>
      </c>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v>268.98370432985081</v>
      </c>
      <c r="DE131" s="35">
        <v>3219.4976756422284</v>
      </c>
      <c r="DF131" s="35">
        <v>17955.775317842425</v>
      </c>
      <c r="DG131" s="35">
        <v>71632.820072468341</v>
      </c>
      <c r="DH131" s="35">
        <v>26770.474428663907</v>
      </c>
      <c r="DI131" s="35"/>
      <c r="DJ131" s="35">
        <v>36043.533606869474</v>
      </c>
      <c r="DK131" s="35"/>
      <c r="DL131" s="35"/>
      <c r="DM131" s="35"/>
      <c r="DN131" s="35"/>
      <c r="DO131" s="35"/>
      <c r="DP131" s="35"/>
      <c r="DQ131" s="35"/>
      <c r="DR131" s="35"/>
      <c r="DS131" s="35"/>
      <c r="DT131" s="35"/>
      <c r="DU131" s="35"/>
      <c r="DV131" s="35"/>
      <c r="DW131" s="35"/>
      <c r="DX131" s="35"/>
      <c r="DY131" s="35"/>
      <c r="DZ131" s="35">
        <v>7553.8128680500495</v>
      </c>
      <c r="EA131" s="35"/>
      <c r="EB131" s="35"/>
      <c r="EC131" s="35"/>
      <c r="ED131" s="35"/>
      <c r="EE131" s="35"/>
      <c r="EF131" s="35"/>
      <c r="EG131" s="35"/>
      <c r="EH131" s="35"/>
      <c r="EI131" s="35"/>
      <c r="EJ131" s="35"/>
      <c r="EK131" s="35">
        <v>774.89731018930843</v>
      </c>
      <c r="EL131" s="35">
        <v>164219.7949840556</v>
      </c>
    </row>
    <row r="132" spans="1:142" x14ac:dyDescent="0.25">
      <c r="A132" s="33" t="s">
        <v>237</v>
      </c>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v>298.24772447085064</v>
      </c>
      <c r="DE132" s="35">
        <v>2788.1337561971704</v>
      </c>
      <c r="DF132" s="35">
        <v>17603.509010254111</v>
      </c>
      <c r="DG132" s="35">
        <v>67698.057501420088</v>
      </c>
      <c r="DH132" s="35">
        <v>41590.679690633071</v>
      </c>
      <c r="DI132" s="35"/>
      <c r="DJ132" s="35">
        <v>43572.382732674676</v>
      </c>
      <c r="DK132" s="35"/>
      <c r="DL132" s="35"/>
      <c r="DM132" s="35"/>
      <c r="DN132" s="35"/>
      <c r="DO132" s="35"/>
      <c r="DP132" s="35"/>
      <c r="DQ132" s="35"/>
      <c r="DR132" s="35"/>
      <c r="DS132" s="35"/>
      <c r="DT132" s="35"/>
      <c r="DU132" s="35"/>
      <c r="DV132" s="35"/>
      <c r="DW132" s="35"/>
      <c r="DX132" s="35"/>
      <c r="DY132" s="35"/>
      <c r="DZ132" s="35">
        <v>2796.779817742924</v>
      </c>
      <c r="EA132" s="35"/>
      <c r="EB132" s="35"/>
      <c r="EC132" s="35"/>
      <c r="ED132" s="35"/>
      <c r="EE132" s="35"/>
      <c r="EF132" s="35"/>
      <c r="EG132" s="35"/>
      <c r="EH132" s="35"/>
      <c r="EI132" s="35"/>
      <c r="EJ132" s="35"/>
      <c r="EK132" s="35">
        <v>1207.1869102200365</v>
      </c>
      <c r="EL132" s="35">
        <v>177554.97714361295</v>
      </c>
    </row>
    <row r="133" spans="1:142" x14ac:dyDescent="0.25">
      <c r="A133" s="33" t="s">
        <v>236</v>
      </c>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v>144.82733209590126</v>
      </c>
      <c r="DE133" s="35">
        <v>1233.5536030794947</v>
      </c>
      <c r="DF133" s="35">
        <v>22750.450809813115</v>
      </c>
      <c r="DG133" s="35">
        <v>76758.920178002343</v>
      </c>
      <c r="DH133" s="35">
        <v>43674.686011450358</v>
      </c>
      <c r="DI133" s="35"/>
      <c r="DJ133" s="35">
        <v>61021.006424957064</v>
      </c>
      <c r="DK133" s="35"/>
      <c r="DL133" s="35"/>
      <c r="DM133" s="35"/>
      <c r="DN133" s="35"/>
      <c r="DO133" s="35"/>
      <c r="DP133" s="35"/>
      <c r="DQ133" s="35"/>
      <c r="DR133" s="35"/>
      <c r="DS133" s="35"/>
      <c r="DT133" s="35"/>
      <c r="DU133" s="35"/>
      <c r="DV133" s="35"/>
      <c r="DW133" s="35"/>
      <c r="DX133" s="35"/>
      <c r="DY133" s="35"/>
      <c r="DZ133" s="35">
        <v>1668.09253764294</v>
      </c>
      <c r="EA133" s="35"/>
      <c r="EB133" s="35"/>
      <c r="EC133" s="35"/>
      <c r="ED133" s="35"/>
      <c r="EE133" s="35"/>
      <c r="EF133" s="35"/>
      <c r="EG133" s="35"/>
      <c r="EH133" s="35"/>
      <c r="EI133" s="35"/>
      <c r="EJ133" s="35"/>
      <c r="EK133" s="35">
        <v>1316.0723589583979</v>
      </c>
      <c r="EL133" s="35">
        <v>208567.60925599962</v>
      </c>
    </row>
    <row r="134" spans="1:142" x14ac:dyDescent="0.25">
      <c r="A134" s="33" t="s">
        <v>235</v>
      </c>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v>491.51438398663402</v>
      </c>
      <c r="DE134" s="35">
        <v>4196.829037464473</v>
      </c>
      <c r="DF134" s="35">
        <v>13461.197751677857</v>
      </c>
      <c r="DG134" s="35">
        <v>143999.81223604499</v>
      </c>
      <c r="DH134" s="35">
        <v>36310.793163777103</v>
      </c>
      <c r="DI134" s="35"/>
      <c r="DJ134" s="35">
        <v>68696.026503418601</v>
      </c>
      <c r="DK134" s="35"/>
      <c r="DL134" s="35"/>
      <c r="DM134" s="35"/>
      <c r="DN134" s="35"/>
      <c r="DO134" s="35"/>
      <c r="DP134" s="35"/>
      <c r="DQ134" s="35"/>
      <c r="DR134" s="35"/>
      <c r="DS134" s="35"/>
      <c r="DT134" s="35"/>
      <c r="DU134" s="35"/>
      <c r="DV134" s="35"/>
      <c r="DW134" s="35"/>
      <c r="DX134" s="35"/>
      <c r="DY134" s="35"/>
      <c r="DZ134" s="35">
        <v>6632.601828445202</v>
      </c>
      <c r="EA134" s="35"/>
      <c r="EB134" s="35"/>
      <c r="EC134" s="35"/>
      <c r="ED134" s="35"/>
      <c r="EE134" s="35"/>
      <c r="EF134" s="35"/>
      <c r="EG134" s="35"/>
      <c r="EH134" s="35"/>
      <c r="EI134" s="35"/>
      <c r="EJ134" s="35"/>
      <c r="EK134" s="35">
        <v>838.21668261858485</v>
      </c>
      <c r="EL134" s="35">
        <v>274626.9915874335</v>
      </c>
    </row>
    <row r="135" spans="1:142" x14ac:dyDescent="0.25">
      <c r="A135" s="33" t="s">
        <v>234</v>
      </c>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v>350.91511240106877</v>
      </c>
      <c r="DE135" s="35">
        <v>1319.4754425029707</v>
      </c>
      <c r="DF135" s="35">
        <v>27513.910565468355</v>
      </c>
      <c r="DG135" s="35">
        <v>142099.51458249812</v>
      </c>
      <c r="DH135" s="35">
        <v>107350.13947194561</v>
      </c>
      <c r="DI135" s="35"/>
      <c r="DJ135" s="35">
        <v>159228.65880803039</v>
      </c>
      <c r="DK135" s="35"/>
      <c r="DL135" s="35"/>
      <c r="DM135" s="35"/>
      <c r="DN135" s="35"/>
      <c r="DO135" s="35"/>
      <c r="DP135" s="35"/>
      <c r="DQ135" s="35"/>
      <c r="DR135" s="35"/>
      <c r="DS135" s="35"/>
      <c r="DT135" s="35"/>
      <c r="DU135" s="35"/>
      <c r="DV135" s="35"/>
      <c r="DW135" s="35"/>
      <c r="DX135" s="35"/>
      <c r="DY135" s="35"/>
      <c r="DZ135" s="35">
        <v>4281.8749643634574</v>
      </c>
      <c r="EA135" s="35"/>
      <c r="EB135" s="35"/>
      <c r="EC135" s="35"/>
      <c r="ED135" s="35"/>
      <c r="EE135" s="35"/>
      <c r="EF135" s="35"/>
      <c r="EG135" s="35"/>
      <c r="EH135" s="35"/>
      <c r="EI135" s="35"/>
      <c r="EJ135" s="35"/>
      <c r="EK135" s="35">
        <v>3145.0699690834244</v>
      </c>
      <c r="EL135" s="35">
        <v>445289.55891629338</v>
      </c>
    </row>
    <row r="136" spans="1:142" x14ac:dyDescent="0.25">
      <c r="A136" s="33" t="s">
        <v>233</v>
      </c>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v>77983</v>
      </c>
      <c r="DI136" s="35"/>
      <c r="DJ136" s="35">
        <v>160078</v>
      </c>
      <c r="DK136" s="35"/>
      <c r="DL136" s="35">
        <v>1.8228925913890541</v>
      </c>
      <c r="DM136" s="35">
        <v>41.879888915333659</v>
      </c>
      <c r="DN136" s="35">
        <v>265.4106682068832</v>
      </c>
      <c r="DO136" s="35">
        <v>522.07240675477476</v>
      </c>
      <c r="DP136" s="35">
        <v>1899.4450898206935</v>
      </c>
      <c r="DQ136" s="35">
        <v>2928.5182704988747</v>
      </c>
      <c r="DR136" s="35">
        <v>6563.4053331467385</v>
      </c>
      <c r="DS136" s="35">
        <v>16950.532088253291</v>
      </c>
      <c r="DT136" s="35">
        <v>45059.682633890639</v>
      </c>
      <c r="DU136" s="35">
        <v>17707.65359339902</v>
      </c>
      <c r="DV136" s="35">
        <v>21145.844498925431</v>
      </c>
      <c r="DW136" s="35">
        <v>21431.94984582538</v>
      </c>
      <c r="DX136" s="35">
        <v>19808.679483017229</v>
      </c>
      <c r="DY136" s="35">
        <v>36485.103306754339</v>
      </c>
      <c r="DZ136" s="35">
        <v>153754</v>
      </c>
      <c r="EA136" s="35">
        <v>46078</v>
      </c>
      <c r="EB136" s="35">
        <v>466126.00000000006</v>
      </c>
      <c r="EC136" s="35">
        <v>37470</v>
      </c>
      <c r="ED136" s="35">
        <v>285432</v>
      </c>
      <c r="EE136" s="35"/>
      <c r="EF136" s="35"/>
      <c r="EG136" s="35"/>
      <c r="EH136" s="35"/>
      <c r="EI136" s="35"/>
      <c r="EJ136" s="35"/>
      <c r="EK136" s="35">
        <v>1845</v>
      </c>
      <c r="EL136" s="35">
        <v>1419578</v>
      </c>
    </row>
    <row r="137" spans="1:142" x14ac:dyDescent="0.25">
      <c r="A137" s="33" t="s">
        <v>232</v>
      </c>
      <c r="B137" s="35">
        <v>-38.187736305329544</v>
      </c>
      <c r="C137" s="35">
        <v>147.75298843662267</v>
      </c>
      <c r="D137" s="35">
        <v>17.722323751077084</v>
      </c>
      <c r="E137" s="35">
        <v>623.10889343646022</v>
      </c>
      <c r="F137" s="35">
        <v>835.05442659300331</v>
      </c>
      <c r="G137" s="35">
        <v>664.1635194662</v>
      </c>
      <c r="H137" s="35">
        <v>243.40689850206752</v>
      </c>
      <c r="I137" s="35">
        <v>16.062452636807258</v>
      </c>
      <c r="J137" s="35">
        <v>19.266100661333326</v>
      </c>
      <c r="K137" s="35">
        <v>-8.4914703176885466E-3</v>
      </c>
      <c r="L137" s="35">
        <v>202.24578829710379</v>
      </c>
      <c r="M137" s="35">
        <v>469.16263332685514</v>
      </c>
      <c r="N137" s="35">
        <v>57.682385801658491</v>
      </c>
      <c r="O137" s="35">
        <v>90.996020023385626</v>
      </c>
      <c r="P137" s="35">
        <v>-4.3846028724612118</v>
      </c>
      <c r="Q137" s="35">
        <v>50.98335799588407</v>
      </c>
      <c r="R137" s="35">
        <v>120.56593558102681</v>
      </c>
      <c r="S137" s="35">
        <v>29.340448988142217</v>
      </c>
      <c r="T137" s="35">
        <v>232.38401300993434</v>
      </c>
      <c r="U137" s="35">
        <v>498.32614937273843</v>
      </c>
      <c r="V137" s="35">
        <v>-1017.2601390451771</v>
      </c>
      <c r="W137" s="35">
        <v>400.93280897918106</v>
      </c>
      <c r="X137" s="35">
        <v>11.243001556516033</v>
      </c>
      <c r="Y137" s="35">
        <v>-39.587295893344489</v>
      </c>
      <c r="Z137" s="35">
        <v>34.066683381494592</v>
      </c>
      <c r="AA137" s="35">
        <v>69.525164745184412</v>
      </c>
      <c r="AB137" s="35">
        <v>284.02346666763549</v>
      </c>
      <c r="AC137" s="35">
        <v>40.852711014038775</v>
      </c>
      <c r="AD137" s="35">
        <v>21.976834849992009</v>
      </c>
      <c r="AE137" s="35">
        <v>-163.0446890783129</v>
      </c>
      <c r="AF137" s="35">
        <v>146.18550664524355</v>
      </c>
      <c r="AG137" s="35">
        <v>65.757785048502853</v>
      </c>
      <c r="AH137" s="35">
        <v>-77.940493629417361</v>
      </c>
      <c r="AI137" s="35">
        <v>40.997851037684285</v>
      </c>
      <c r="AJ137" s="35">
        <v>37.17121960300355</v>
      </c>
      <c r="AK137" s="35">
        <v>93.012918154258912</v>
      </c>
      <c r="AL137" s="35">
        <v>-24.561849530260556</v>
      </c>
      <c r="AM137" s="35">
        <v>-277.18045913794441</v>
      </c>
      <c r="AN137" s="35">
        <v>1020.1421917771047</v>
      </c>
      <c r="AO137" s="35">
        <v>6167.5156306280314</v>
      </c>
      <c r="AP137" s="35">
        <v>665.2877974141503</v>
      </c>
      <c r="AQ137" s="35">
        <v>40.706796096459307</v>
      </c>
      <c r="AR137" s="35">
        <v>155.13800475176831</v>
      </c>
      <c r="AS137" s="35">
        <v>376.97482643704512</v>
      </c>
      <c r="AT137" s="35">
        <v>506.58110586539237</v>
      </c>
      <c r="AU137" s="35">
        <v>1584.93813317322</v>
      </c>
      <c r="AV137" s="35">
        <v>783.4607706209664</v>
      </c>
      <c r="AW137" s="35">
        <v>3222.7648669506989</v>
      </c>
      <c r="AX137" s="35">
        <v>19672.335281291511</v>
      </c>
      <c r="AY137" s="35">
        <v>5196.1438776917275</v>
      </c>
      <c r="AZ137" s="35">
        <v>2764.1961867014197</v>
      </c>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v>46077.999999999964</v>
      </c>
    </row>
    <row r="138" spans="1:142" x14ac:dyDescent="0.25">
      <c r="A138" s="33" t="s">
        <v>231</v>
      </c>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v>177659.33962820336</v>
      </c>
      <c r="DK138" s="35">
        <v>4651.6603717966391</v>
      </c>
      <c r="DL138" s="35">
        <v>45.709983113347874</v>
      </c>
      <c r="DM138" s="35">
        <v>105.61148343658219</v>
      </c>
      <c r="DN138" s="35">
        <v>339.20908958380295</v>
      </c>
      <c r="DO138" s="35">
        <v>628.01478957742779</v>
      </c>
      <c r="DP138" s="35">
        <v>1863.9563020353187</v>
      </c>
      <c r="DQ138" s="35">
        <v>3247.5766854209187</v>
      </c>
      <c r="DR138" s="35">
        <v>8174.02487352149</v>
      </c>
      <c r="DS138" s="35">
        <v>21702.029469258483</v>
      </c>
      <c r="DT138" s="35">
        <v>49030.844717920401</v>
      </c>
      <c r="DU138" s="35">
        <v>18418.280898700541</v>
      </c>
      <c r="DV138" s="35">
        <v>15945.104398728616</v>
      </c>
      <c r="DW138" s="35">
        <v>25895.957955545931</v>
      </c>
      <c r="DX138" s="35">
        <v>35682.605681380956</v>
      </c>
      <c r="DY138" s="35">
        <v>102736.07367177616</v>
      </c>
      <c r="DZ138" s="35"/>
      <c r="EA138" s="35"/>
      <c r="EB138" s="35"/>
      <c r="EC138" s="35"/>
      <c r="ED138" s="35"/>
      <c r="EE138" s="35"/>
      <c r="EF138" s="35"/>
      <c r="EG138" s="35"/>
      <c r="EH138" s="35"/>
      <c r="EI138" s="35"/>
      <c r="EJ138" s="35"/>
      <c r="EK138" s="35"/>
      <c r="EL138" s="35">
        <v>466125.99999999994</v>
      </c>
    </row>
    <row r="139" spans="1:142" x14ac:dyDescent="0.25">
      <c r="A139" s="33" t="s">
        <v>230</v>
      </c>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v>263.0186299687158</v>
      </c>
      <c r="BB139" s="35">
        <v>15.470742711908654</v>
      </c>
      <c r="BC139" s="35"/>
      <c r="BD139" s="35"/>
      <c r="BE139" s="35">
        <v>108.30053470871631</v>
      </c>
      <c r="BF139" s="35"/>
      <c r="BG139" s="35">
        <v>307.21686251238532</v>
      </c>
      <c r="BH139" s="35"/>
      <c r="BI139" s="35"/>
      <c r="BJ139" s="35"/>
      <c r="BK139" s="35">
        <v>2099.7691833237254</v>
      </c>
      <c r="BL139" s="35">
        <v>351.42259621488836</v>
      </c>
      <c r="BM139" s="35">
        <v>236.48240447848377</v>
      </c>
      <c r="BN139" s="35">
        <v>5629.9292049080441</v>
      </c>
      <c r="BO139" s="35">
        <v>90.615247807129009</v>
      </c>
      <c r="BP139" s="35">
        <v>3004.1627486177567</v>
      </c>
      <c r="BQ139" s="35">
        <v>165.76449070703998</v>
      </c>
      <c r="BR139" s="35">
        <v>426.59389351448476</v>
      </c>
      <c r="BS139" s="35">
        <v>187.86608117070836</v>
      </c>
      <c r="BT139" s="35">
        <v>78.609438142671095</v>
      </c>
      <c r="BU139" s="35">
        <v>166.57167407030968</v>
      </c>
      <c r="BV139" s="35">
        <v>8.9939691861896804</v>
      </c>
      <c r="BW139" s="35">
        <v>797.99518311563884</v>
      </c>
      <c r="BX139" s="35">
        <v>1153.7710027191633</v>
      </c>
      <c r="BY139" s="35">
        <v>1454.1782436067506</v>
      </c>
      <c r="BZ139" s="35">
        <v>1540.8734121507782</v>
      </c>
      <c r="CA139" s="35">
        <v>247.54066802427792</v>
      </c>
      <c r="CB139" s="35">
        <v>742.61339487542705</v>
      </c>
      <c r="CC139" s="35">
        <v>426.63106594197001</v>
      </c>
      <c r="CD139" s="35">
        <v>499.01816095814405</v>
      </c>
      <c r="CE139" s="35">
        <v>503.94208671207195</v>
      </c>
      <c r="CF139" s="35">
        <v>2522.8237820714394</v>
      </c>
      <c r="CG139" s="35">
        <v>747.70653449586734</v>
      </c>
      <c r="CH139" s="35">
        <v>291.73261871151385</v>
      </c>
      <c r="CI139" s="35">
        <v>10669.058993059472</v>
      </c>
      <c r="CJ139" s="35">
        <v>1975.7464732239234</v>
      </c>
      <c r="CK139" s="35">
        <v>170.18454395784067</v>
      </c>
      <c r="CL139" s="35">
        <v>568.03062075157698</v>
      </c>
      <c r="CM139" s="35"/>
      <c r="CN139" s="35"/>
      <c r="CO139" s="35"/>
      <c r="CP139" s="35"/>
      <c r="CQ139" s="35"/>
      <c r="CR139" s="35"/>
      <c r="CS139" s="35"/>
      <c r="CT139" s="35"/>
      <c r="CU139" s="35"/>
      <c r="CV139" s="35"/>
      <c r="CW139" s="35"/>
      <c r="CX139" s="35"/>
      <c r="CY139" s="35"/>
      <c r="CZ139" s="35"/>
      <c r="DA139" s="35"/>
      <c r="DB139" s="35">
        <v>17.365513580987333</v>
      </c>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v>37470</v>
      </c>
    </row>
    <row r="140" spans="1:142" x14ac:dyDescent="0.25">
      <c r="A140" s="33" t="s">
        <v>229</v>
      </c>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v>6187.3409729483183</v>
      </c>
      <c r="BB140" s="35">
        <v>690.38050273969577</v>
      </c>
      <c r="BC140" s="35">
        <v>200.71650432834676</v>
      </c>
      <c r="BD140" s="35"/>
      <c r="BE140" s="35">
        <v>1042.0646315784118</v>
      </c>
      <c r="BF140" s="35">
        <v>1661.9808964575886</v>
      </c>
      <c r="BG140" s="35">
        <v>5053.493257097075</v>
      </c>
      <c r="BH140" s="35"/>
      <c r="BI140" s="35"/>
      <c r="BJ140" s="35"/>
      <c r="BK140" s="35">
        <v>16149.45846425468</v>
      </c>
      <c r="BL140" s="35">
        <v>49748.097998724537</v>
      </c>
      <c r="BM140" s="35">
        <v>1052.287392266086</v>
      </c>
      <c r="BN140" s="35">
        <v>5045.9957364314678</v>
      </c>
      <c r="BO140" s="35">
        <v>323.10384677897758</v>
      </c>
      <c r="BP140" s="35">
        <v>789.08751539481386</v>
      </c>
      <c r="BQ140" s="35">
        <v>1635.4955728782156</v>
      </c>
      <c r="BR140" s="35">
        <v>4504.8995160926652</v>
      </c>
      <c r="BS140" s="35">
        <v>2484.4652512530952</v>
      </c>
      <c r="BT140" s="35">
        <v>21272.989127218429</v>
      </c>
      <c r="BU140" s="35">
        <v>23948.819816759911</v>
      </c>
      <c r="BV140" s="35">
        <v>4242.2037593163013</v>
      </c>
      <c r="BW140" s="35">
        <v>5477.6676456754694</v>
      </c>
      <c r="BX140" s="35">
        <v>6907.3678611226705</v>
      </c>
      <c r="BY140" s="35">
        <v>1158.9620586417291</v>
      </c>
      <c r="BZ140" s="35">
        <v>2249.066196333948</v>
      </c>
      <c r="CA140" s="35">
        <v>563.40414367719563</v>
      </c>
      <c r="CB140" s="35">
        <v>2623.6318722306914</v>
      </c>
      <c r="CC140" s="35">
        <v>4306.0377212756748</v>
      </c>
      <c r="CD140" s="35">
        <v>1846.5739129152203</v>
      </c>
      <c r="CE140" s="35">
        <v>2209.3319252678439</v>
      </c>
      <c r="CF140" s="35">
        <v>3397.9938038280166</v>
      </c>
      <c r="CG140" s="35">
        <v>3491.9804421548261</v>
      </c>
      <c r="CH140" s="35">
        <v>3761.6972356958322</v>
      </c>
      <c r="CI140" s="35">
        <v>14737.367778851583</v>
      </c>
      <c r="CJ140" s="35">
        <v>1056.9552529742743</v>
      </c>
      <c r="CK140" s="35">
        <v>1260.2946236013827</v>
      </c>
      <c r="CL140" s="35">
        <v>4061.4005645857087</v>
      </c>
      <c r="CM140" s="35">
        <v>3586.9016216791169</v>
      </c>
      <c r="CN140" s="35">
        <v>1965.6228919438474</v>
      </c>
      <c r="CO140" s="35">
        <v>6413.2735167283845</v>
      </c>
      <c r="CP140" s="35">
        <v>3211.5998118427169</v>
      </c>
      <c r="CQ140" s="35">
        <v>2819.6619992223268</v>
      </c>
      <c r="CR140" s="35">
        <v>-7733.8097043247972</v>
      </c>
      <c r="CS140" s="35">
        <v>2725.4758072874083</v>
      </c>
      <c r="CT140" s="35">
        <v>-40.709428435288459</v>
      </c>
      <c r="CU140" s="35">
        <v>1.4355129507545028</v>
      </c>
      <c r="CV140" s="35">
        <v>615.44406360383925</v>
      </c>
      <c r="CW140" s="35">
        <v>426.05250169428115</v>
      </c>
      <c r="CX140" s="35">
        <v>11928.474092644989</v>
      </c>
      <c r="CY140" s="35">
        <v>27564.086969992484</v>
      </c>
      <c r="CZ140" s="35">
        <v>2927.8875725678813</v>
      </c>
      <c r="DA140" s="35">
        <v>23807.210424681412</v>
      </c>
      <c r="DB140" s="35">
        <v>70.778544569999724</v>
      </c>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v>285432.00000000017</v>
      </c>
    </row>
    <row r="141" spans="1:142" x14ac:dyDescent="0.25">
      <c r="A141" s="33" t="s">
        <v>228</v>
      </c>
      <c r="B141" s="35">
        <v>500.48513827479837</v>
      </c>
      <c r="C141" s="35">
        <v>53.151617659182875</v>
      </c>
      <c r="D141" s="35">
        <v>5.4817404209491798</v>
      </c>
      <c r="E141" s="35">
        <v>-607.61647871911464</v>
      </c>
      <c r="F141" s="35">
        <v>-3360.4161962520975</v>
      </c>
      <c r="G141" s="35">
        <v>-3725.9380641750795</v>
      </c>
      <c r="H141" s="35">
        <v>-401.54750030563378</v>
      </c>
      <c r="I141" s="35">
        <v>-26.498171353318511</v>
      </c>
      <c r="J141" s="35">
        <v>-31.783218178302377</v>
      </c>
      <c r="K141" s="35">
        <v>-2.5375945058050131E-2</v>
      </c>
      <c r="L141" s="35">
        <v>-89.938069509245906</v>
      </c>
      <c r="M141" s="35">
        <v>-9.7841709815529612</v>
      </c>
      <c r="N141" s="35">
        <v>-378.99585462927826</v>
      </c>
      <c r="O141" s="35">
        <v>-137.1519794001247</v>
      </c>
      <c r="P141" s="35">
        <v>-18.513116285514734</v>
      </c>
      <c r="Q141" s="35">
        <v>-35.101916285499286</v>
      </c>
      <c r="R141" s="35">
        <v>-325.41299976228083</v>
      </c>
      <c r="S141" s="35">
        <v>-911.4964577503597</v>
      </c>
      <c r="T141" s="35">
        <v>-138.00321345393272</v>
      </c>
      <c r="U141" s="35">
        <v>-7485.1808682530964</v>
      </c>
      <c r="V141" s="35">
        <v>4937.9707556522826</v>
      </c>
      <c r="W141" s="35">
        <v>2175.6239319374599</v>
      </c>
      <c r="X141" s="35">
        <v>130.76807456388869</v>
      </c>
      <c r="Y141" s="35">
        <v>189.36223950774044</v>
      </c>
      <c r="Z141" s="35">
        <v>312.70887084471383</v>
      </c>
      <c r="AA141" s="35">
        <v>502.69816635617633</v>
      </c>
      <c r="AB141" s="35">
        <v>180.52427927509962</v>
      </c>
      <c r="AC141" s="35">
        <v>-10231.256377083197</v>
      </c>
      <c r="AD141" s="35">
        <v>22.867087605447296</v>
      </c>
      <c r="AE141" s="35">
        <v>-371.09030172177074</v>
      </c>
      <c r="AF141" s="35">
        <v>-202.8287551427776</v>
      </c>
      <c r="AG141" s="35">
        <v>-66.843856651167513</v>
      </c>
      <c r="AH141" s="35">
        <v>-779.65852956345861</v>
      </c>
      <c r="AI141" s="35">
        <v>-111.28141803534555</v>
      </c>
      <c r="AJ141" s="35">
        <v>-112.04596720606168</v>
      </c>
      <c r="AK141" s="35">
        <v>-189.91867391179875</v>
      </c>
      <c r="AL141" s="35"/>
      <c r="AM141" s="35">
        <v>-176.93069620834609</v>
      </c>
      <c r="AN141" s="35">
        <v>-396.06215820011437</v>
      </c>
      <c r="AO141" s="35">
        <v>-938.19828302538099</v>
      </c>
      <c r="AP141" s="35">
        <v>-229.09424887587909</v>
      </c>
      <c r="AQ141" s="35">
        <v>-0.74211784192037999</v>
      </c>
      <c r="AR141" s="35">
        <v>-5.3974698904041745</v>
      </c>
      <c r="AS141" s="35">
        <v>-42.656564544969058</v>
      </c>
      <c r="AT141" s="35">
        <v>-99.934425834814533</v>
      </c>
      <c r="AU141" s="35">
        <v>-312.66440948639683</v>
      </c>
      <c r="AV141" s="35">
        <v>-111.46037056267619</v>
      </c>
      <c r="AW141" s="35">
        <v>-150.52096766919271</v>
      </c>
      <c r="AX141" s="35">
        <v>-3369.3414839443358</v>
      </c>
      <c r="AY141" s="35">
        <v>-364.92554561381439</v>
      </c>
      <c r="AZ141" s="35">
        <v>-950.21679479630984</v>
      </c>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v>591.54120430370858</v>
      </c>
      <c r="DM141" s="35">
        <v>895.02957931408241</v>
      </c>
      <c r="DN141" s="35">
        <v>1083.7010734697365</v>
      </c>
      <c r="DO141" s="35">
        <v>1289.5598800101425</v>
      </c>
      <c r="DP141" s="35">
        <v>1559.6472218468346</v>
      </c>
      <c r="DQ141" s="35">
        <v>1850.5658746265551</v>
      </c>
      <c r="DR141" s="35">
        <v>2343.511369614414</v>
      </c>
      <c r="DS141" s="35">
        <v>3830.428928266319</v>
      </c>
      <c r="DT141" s="35">
        <v>5810.2919819060844</v>
      </c>
      <c r="DU141" s="35">
        <v>1486.9175586519041</v>
      </c>
      <c r="DV141" s="35">
        <v>1322.7894166380115</v>
      </c>
      <c r="DW141" s="35">
        <v>1443.9392571586502</v>
      </c>
      <c r="DX141" s="35">
        <v>1737.1390354191115</v>
      </c>
      <c r="DY141" s="35">
        <v>2639.768783726327</v>
      </c>
      <c r="DZ141" s="35"/>
      <c r="EA141" s="35"/>
      <c r="EB141" s="35"/>
      <c r="EC141" s="35"/>
      <c r="ED141" s="35"/>
      <c r="EE141" s="35"/>
      <c r="EF141" s="35"/>
      <c r="EG141" s="35"/>
      <c r="EH141" s="35"/>
      <c r="EI141" s="35"/>
      <c r="EJ141" s="35"/>
      <c r="EK141" s="35"/>
      <c r="EL141" s="35">
        <v>-4.5474735088646412E-13</v>
      </c>
    </row>
    <row r="142" spans="1:142" x14ac:dyDescent="0.25">
      <c r="A142" s="33" t="s">
        <v>227</v>
      </c>
      <c r="B142" s="35"/>
      <c r="C142" s="35"/>
      <c r="D142" s="35"/>
      <c r="E142" s="35">
        <v>-166.26178832017285</v>
      </c>
      <c r="F142" s="35"/>
      <c r="G142" s="35"/>
      <c r="H142" s="35"/>
      <c r="I142" s="35"/>
      <c r="J142" s="35"/>
      <c r="K142" s="35">
        <v>-3.6582095555937278E-4</v>
      </c>
      <c r="L142" s="35"/>
      <c r="M142" s="35"/>
      <c r="N142" s="35"/>
      <c r="O142" s="35"/>
      <c r="P142" s="35"/>
      <c r="Q142" s="35"/>
      <c r="R142" s="35"/>
      <c r="S142" s="35"/>
      <c r="T142" s="35"/>
      <c r="U142" s="35">
        <v>-1233.2162984606432</v>
      </c>
      <c r="V142" s="35">
        <v>-43.824574802172258</v>
      </c>
      <c r="W142" s="35">
        <v>-12.625024201512318</v>
      </c>
      <c r="X142" s="35">
        <v>-8.3548181752701538</v>
      </c>
      <c r="Y142" s="35">
        <v>-1.5005325163861318</v>
      </c>
      <c r="Z142" s="35"/>
      <c r="AA142" s="35"/>
      <c r="AB142" s="35"/>
      <c r="AC142" s="35"/>
      <c r="AD142" s="35"/>
      <c r="AE142" s="35"/>
      <c r="AF142" s="35"/>
      <c r="AG142" s="35"/>
      <c r="AH142" s="35"/>
      <c r="AI142" s="35"/>
      <c r="AJ142" s="35"/>
      <c r="AK142" s="35"/>
      <c r="AL142" s="35">
        <v>1465.7834022971692</v>
      </c>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v>5.6843418860808015E-11</v>
      </c>
    </row>
    <row r="143" spans="1:142" x14ac:dyDescent="0.25">
      <c r="A143" s="33" t="s">
        <v>226</v>
      </c>
      <c r="B143" s="35">
        <v>-4.4498889685890397</v>
      </c>
      <c r="C143" s="35"/>
      <c r="D143" s="35"/>
      <c r="E143" s="35"/>
      <c r="F143" s="35">
        <v>-72.361656245368124</v>
      </c>
      <c r="G143" s="35">
        <v>-496.03892224300853</v>
      </c>
      <c r="H143" s="35">
        <v>-84.090656062626294</v>
      </c>
      <c r="I143" s="35"/>
      <c r="J143" s="35"/>
      <c r="K143" s="35"/>
      <c r="L143" s="35">
        <v>-180.91268752523092</v>
      </c>
      <c r="M143" s="35">
        <v>-33.119042984723364</v>
      </c>
      <c r="N143" s="35">
        <v>-770.28891926113738</v>
      </c>
      <c r="O143" s="35">
        <v>-209.42563369192945</v>
      </c>
      <c r="P143" s="35">
        <v>-13.383052935915064</v>
      </c>
      <c r="Q143" s="35">
        <v>-3.8846743872150435</v>
      </c>
      <c r="R143" s="35">
        <v>-511.93050893054976</v>
      </c>
      <c r="S143" s="35">
        <v>1585.7144659433038</v>
      </c>
      <c r="T143" s="35">
        <v>-78.988801868255422</v>
      </c>
      <c r="U143" s="35"/>
      <c r="V143" s="35"/>
      <c r="W143" s="35"/>
      <c r="X143" s="35"/>
      <c r="Y143" s="35"/>
      <c r="Z143" s="35">
        <v>-11.257517066677321</v>
      </c>
      <c r="AA143" s="35">
        <v>-751.22355566594354</v>
      </c>
      <c r="AB143" s="35">
        <v>-161.54016801791613</v>
      </c>
      <c r="AC143" s="35">
        <v>-19.721924567861212</v>
      </c>
      <c r="AD143" s="35">
        <v>-2.6433989290739817</v>
      </c>
      <c r="AE143" s="35">
        <v>-90.744621482819468</v>
      </c>
      <c r="AF143" s="35">
        <v>-49.761362873002724</v>
      </c>
      <c r="AG143" s="35">
        <v>-12.568338505345672</v>
      </c>
      <c r="AH143" s="35">
        <v>-11.288948027286565</v>
      </c>
      <c r="AI143" s="35">
        <v>-14.924337877029684</v>
      </c>
      <c r="AJ143" s="35">
        <v>-84.652603077747216</v>
      </c>
      <c r="AK143" s="35">
        <v>-36.252667242576088</v>
      </c>
      <c r="AL143" s="35"/>
      <c r="AM143" s="35">
        <v>832.56622874358175</v>
      </c>
      <c r="AN143" s="35"/>
      <c r="AO143" s="35"/>
      <c r="AP143" s="35">
        <v>32.348681566361286</v>
      </c>
      <c r="AQ143" s="35"/>
      <c r="AR143" s="35"/>
      <c r="AS143" s="35">
        <v>82.968028198235714</v>
      </c>
      <c r="AT143" s="35"/>
      <c r="AU143" s="35"/>
      <c r="AV143" s="35">
        <v>69.715023137081644</v>
      </c>
      <c r="AW143" s="35"/>
      <c r="AX143" s="35">
        <v>105.396264915535</v>
      </c>
      <c r="AY143" s="35">
        <v>385.60144933748074</v>
      </c>
      <c r="AZ143" s="35">
        <v>92.873720960769347</v>
      </c>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v>26.57228565681611</v>
      </c>
      <c r="DM143" s="35">
        <v>44.901546378405094</v>
      </c>
      <c r="DN143" s="35">
        <v>119.72145794387561</v>
      </c>
      <c r="DO143" s="35">
        <v>109.279942491109</v>
      </c>
      <c r="DP143" s="35">
        <v>104.86320385630009</v>
      </c>
      <c r="DQ143" s="35">
        <v>28.380776831584413</v>
      </c>
      <c r="DR143" s="35">
        <v>18.040630155621798</v>
      </c>
      <c r="DS143" s="35">
        <v>4.8808216223089538</v>
      </c>
      <c r="DT143" s="35">
        <v>9.6176189425374492</v>
      </c>
      <c r="DU143" s="35"/>
      <c r="DV143" s="35"/>
      <c r="DW143" s="35"/>
      <c r="DX143" s="35">
        <v>13.946234206247137</v>
      </c>
      <c r="DY143" s="35">
        <v>38.065507550671967</v>
      </c>
      <c r="DZ143" s="35"/>
      <c r="EA143" s="35"/>
      <c r="EB143" s="35"/>
      <c r="EC143" s="35"/>
      <c r="ED143" s="35"/>
      <c r="EE143" s="35"/>
      <c r="EF143" s="35"/>
      <c r="EG143" s="35"/>
      <c r="EH143" s="35"/>
      <c r="EI143" s="35"/>
      <c r="EJ143" s="35"/>
      <c r="EK143" s="35"/>
      <c r="EL143" s="35">
        <v>-9.6633812063373625E-13</v>
      </c>
    </row>
    <row r="144" spans="1:142" x14ac:dyDescent="0.25">
      <c r="A144" s="33" t="s">
        <v>225</v>
      </c>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v>436328.25792782538</v>
      </c>
      <c r="DK144" s="35">
        <v>17458.306825580035</v>
      </c>
      <c r="DL144" s="35">
        <v>1.9717085470499331</v>
      </c>
      <c r="DM144" s="35">
        <v>22.115410123168143</v>
      </c>
      <c r="DN144" s="35">
        <v>65.526995093414016</v>
      </c>
      <c r="DO144" s="35">
        <v>57.608605111535027</v>
      </c>
      <c r="DP144" s="35">
        <v>94.36264041491583</v>
      </c>
      <c r="DQ144" s="35">
        <v>206.59812029744032</v>
      </c>
      <c r="DR144" s="35">
        <v>464.78703571319016</v>
      </c>
      <c r="DS144" s="35">
        <v>862.58643185361336</v>
      </c>
      <c r="DT144" s="35">
        <v>2372.3625141053089</v>
      </c>
      <c r="DU144" s="35">
        <v>418.46048951260451</v>
      </c>
      <c r="DV144" s="35">
        <v>959.53390407785412</v>
      </c>
      <c r="DW144" s="35">
        <v>2022.3224545248979</v>
      </c>
      <c r="DX144" s="35">
        <v>2537.3143342656431</v>
      </c>
      <c r="DY144" s="35">
        <v>6838.4493563593642</v>
      </c>
      <c r="DZ144" s="35">
        <v>15596</v>
      </c>
      <c r="EA144" s="35"/>
      <c r="EB144" s="35"/>
      <c r="EC144" s="35"/>
      <c r="ED144" s="35"/>
      <c r="EE144" s="35"/>
      <c r="EF144" s="35"/>
      <c r="EG144" s="35"/>
      <c r="EH144" s="35"/>
      <c r="EI144" s="35"/>
      <c r="EJ144" s="35"/>
      <c r="EK144" s="35">
        <v>156998.4428951802</v>
      </c>
      <c r="EL144" s="35">
        <v>643305.0076485856</v>
      </c>
    </row>
    <row r="145" spans="1:142" x14ac:dyDescent="0.25">
      <c r="A145" s="33" t="s">
        <v>224</v>
      </c>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v>31077.435246594669</v>
      </c>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v>31077.435246594669</v>
      </c>
    </row>
    <row r="146" spans="1:142" x14ac:dyDescent="0.25">
      <c r="A146" s="33" t="s">
        <v>223</v>
      </c>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c r="DR146" s="35"/>
      <c r="DS146" s="35"/>
      <c r="DT146" s="35"/>
      <c r="DU146" s="35"/>
      <c r="DV146" s="35"/>
      <c r="DW146" s="35"/>
      <c r="DX146" s="35"/>
      <c r="DY146" s="35"/>
      <c r="DZ146" s="35"/>
      <c r="EA146" s="35"/>
      <c r="EB146" s="35"/>
      <c r="EC146" s="35"/>
      <c r="ED146" s="35"/>
      <c r="EE146" s="35"/>
      <c r="EF146" s="35"/>
      <c r="EG146" s="35"/>
      <c r="EH146" s="35">
        <v>59877.442895178559</v>
      </c>
      <c r="EI146" s="35"/>
      <c r="EJ146" s="35"/>
      <c r="EK146" s="35"/>
      <c r="EL146" s="35">
        <v>59877.442895178559</v>
      </c>
    </row>
    <row r="147" spans="1:142" x14ac:dyDescent="0.25">
      <c r="A147" s="33" t="s">
        <v>222</v>
      </c>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v>11488.321597935892</v>
      </c>
      <c r="BB147" s="35">
        <v>236.11860326772111</v>
      </c>
      <c r="BC147" s="35">
        <v>119.13739537291266</v>
      </c>
      <c r="BD147" s="35"/>
      <c r="BE147" s="35">
        <v>387.1786266975837</v>
      </c>
      <c r="BF147" s="35">
        <v>3138.1305231429019</v>
      </c>
      <c r="BG147" s="35">
        <v>10973.943101240671</v>
      </c>
      <c r="BH147" s="35">
        <v>76027.815379690306</v>
      </c>
      <c r="BI147" s="35">
        <v>12439.359524853513</v>
      </c>
      <c r="BJ147" s="35"/>
      <c r="BK147" s="35">
        <v>35908.792597679749</v>
      </c>
      <c r="BL147" s="35">
        <v>5426.9725830789594</v>
      </c>
      <c r="BM147" s="35">
        <v>4112.63474928715</v>
      </c>
      <c r="BN147" s="35">
        <v>34902.596477955747</v>
      </c>
      <c r="BO147" s="35">
        <v>2776.7536459394378</v>
      </c>
      <c r="BP147" s="35">
        <v>8575.3597131334463</v>
      </c>
      <c r="BQ147" s="35">
        <v>3060.3274554337281</v>
      </c>
      <c r="BR147" s="35">
        <v>9479.97766880366</v>
      </c>
      <c r="BS147" s="35">
        <v>3322.8405747617931</v>
      </c>
      <c r="BT147" s="35">
        <v>12982.002150318584</v>
      </c>
      <c r="BU147" s="35">
        <v>27508.577621916695</v>
      </c>
      <c r="BV147" s="35">
        <v>1485.3143601294043</v>
      </c>
      <c r="BW147" s="35">
        <v>45486.002706840853</v>
      </c>
      <c r="BX147" s="35">
        <v>38214.607829584405</v>
      </c>
      <c r="BY147" s="35">
        <v>10294.392625396753</v>
      </c>
      <c r="BZ147" s="35">
        <v>9042.1970657749043</v>
      </c>
      <c r="CA147" s="35">
        <v>2740.9157608804694</v>
      </c>
      <c r="CB147" s="35">
        <v>7196.7602611434068</v>
      </c>
      <c r="CC147" s="35">
        <v>15304.171977152371</v>
      </c>
      <c r="CD147" s="35">
        <v>38275.319056605134</v>
      </c>
      <c r="CE147" s="35">
        <v>21499.961129778807</v>
      </c>
      <c r="CF147" s="35">
        <v>122695.11522531725</v>
      </c>
      <c r="CG147" s="35">
        <v>51630.741627293653</v>
      </c>
      <c r="CH147" s="35">
        <v>77597.511874622709</v>
      </c>
      <c r="CI147" s="35">
        <v>112595.01686636747</v>
      </c>
      <c r="CJ147" s="35">
        <v>19651.003317829036</v>
      </c>
      <c r="CK147" s="35">
        <v>5445.1751118087823</v>
      </c>
      <c r="CL147" s="35">
        <v>14683.507132962079</v>
      </c>
      <c r="CM147" s="35">
        <v>1715.2659900908193</v>
      </c>
      <c r="CN147" s="35">
        <v>341.20886541886711</v>
      </c>
      <c r="CO147" s="35">
        <v>747.13407998896946</v>
      </c>
      <c r="CP147" s="35">
        <v>2351.1522531683945</v>
      </c>
      <c r="CQ147" s="35">
        <v>27960.54342148783</v>
      </c>
      <c r="CR147" s="35">
        <v>27743.369359289969</v>
      </c>
      <c r="CS147" s="35">
        <v>10446.786179537437</v>
      </c>
      <c r="CT147" s="35">
        <v>146.03626836773762</v>
      </c>
      <c r="CU147" s="35">
        <v>5.5023408442633546</v>
      </c>
      <c r="CV147" s="35">
        <v>1644.476680221481</v>
      </c>
      <c r="CW147" s="35">
        <v>706.7273245574039</v>
      </c>
      <c r="CX147" s="35">
        <v>8478.3634326894171</v>
      </c>
      <c r="CY147" s="35">
        <v>48385.926520338384</v>
      </c>
      <c r="CZ147" s="35">
        <v>344.75119061190969</v>
      </c>
      <c r="DA147" s="35">
        <v>21523.816714054712</v>
      </c>
      <c r="DB147" s="35">
        <v>4716.0122325094153</v>
      </c>
      <c r="DC147" s="35"/>
      <c r="DD147" s="35">
        <v>589.7627470477322</v>
      </c>
      <c r="DE147" s="35">
        <v>1071.6832422143732</v>
      </c>
      <c r="DF147" s="35">
        <v>2725.0304888176092</v>
      </c>
      <c r="DG147" s="35">
        <v>6457.5235219202859</v>
      </c>
      <c r="DH147" s="35">
        <v>118127.61145088775</v>
      </c>
      <c r="DI147" s="35"/>
      <c r="DJ147" s="35"/>
      <c r="DK147" s="35">
        <v>7865.3885491122601</v>
      </c>
      <c r="DL147" s="35">
        <v>11.996298521358408</v>
      </c>
      <c r="DM147" s="35">
        <v>33.557087034223841</v>
      </c>
      <c r="DN147" s="35">
        <v>55.455996268278128</v>
      </c>
      <c r="DO147" s="35">
        <v>82.336170491112043</v>
      </c>
      <c r="DP147" s="35">
        <v>126.60122797815161</v>
      </c>
      <c r="DQ147" s="35">
        <v>158.93224865817766</v>
      </c>
      <c r="DR147" s="35">
        <v>357.05787362884394</v>
      </c>
      <c r="DS147" s="35">
        <v>672.91831501905665</v>
      </c>
      <c r="DT147" s="35">
        <v>2467.7511575651361</v>
      </c>
      <c r="DU147" s="35">
        <v>618.40313887849277</v>
      </c>
      <c r="DV147" s="35">
        <v>924.58768613907182</v>
      </c>
      <c r="DW147" s="35">
        <v>914.33938009130156</v>
      </c>
      <c r="DX147" s="35">
        <v>703.87432374950902</v>
      </c>
      <c r="DY147" s="35">
        <v>1600.1890959772859</v>
      </c>
      <c r="DZ147" s="35">
        <v>35732</v>
      </c>
      <c r="EA147" s="35"/>
      <c r="EB147" s="35"/>
      <c r="EC147" s="35"/>
      <c r="ED147" s="35"/>
      <c r="EE147" s="35"/>
      <c r="EF147" s="35"/>
      <c r="EG147" s="35"/>
      <c r="EH147" s="35"/>
      <c r="EI147" s="35"/>
      <c r="EJ147" s="35"/>
      <c r="EK147" s="35"/>
      <c r="EL147" s="35">
        <v>1195258.6267731746</v>
      </c>
    </row>
    <row r="148" spans="1:142" x14ac:dyDescent="0.25">
      <c r="A148" s="33" t="s">
        <v>221</v>
      </c>
      <c r="B148" s="35">
        <v>158068.43043290667</v>
      </c>
      <c r="C148" s="35">
        <v>17544.364776202463</v>
      </c>
      <c r="D148" s="35">
        <v>4528.0377111453772</v>
      </c>
      <c r="E148" s="35">
        <v>107424.76125085723</v>
      </c>
      <c r="F148" s="35">
        <v>80856.433778936684</v>
      </c>
      <c r="G148" s="35">
        <v>226017.79525409953</v>
      </c>
      <c r="H148" s="35">
        <v>58592.311714347961</v>
      </c>
      <c r="I148" s="35">
        <v>3874.0705878687036</v>
      </c>
      <c r="J148" s="35">
        <v>4646.7519999999895</v>
      </c>
      <c r="K148" s="35">
        <v>0.99999999999999989</v>
      </c>
      <c r="L148" s="35">
        <v>265777.35384823545</v>
      </c>
      <c r="M148" s="35">
        <v>83271.30903482523</v>
      </c>
      <c r="N148" s="35">
        <v>27058.639307158493</v>
      </c>
      <c r="O148" s="35">
        <v>43502.883350147546</v>
      </c>
      <c r="P148" s="35">
        <v>8783.8423196454842</v>
      </c>
      <c r="Q148" s="35">
        <v>8710.7120316860182</v>
      </c>
      <c r="R148" s="35">
        <v>44160.074473262706</v>
      </c>
      <c r="S148" s="35">
        <v>75485.287898324154</v>
      </c>
      <c r="T148" s="35">
        <v>41840.768385576797</v>
      </c>
      <c r="U148" s="35">
        <v>143459.59604188841</v>
      </c>
      <c r="V148" s="35">
        <v>119797.87963530021</v>
      </c>
      <c r="W148" s="35">
        <v>118993.61324641833</v>
      </c>
      <c r="X148" s="35">
        <v>16407.147377087251</v>
      </c>
      <c r="Y148" s="35">
        <v>38482.932737225012</v>
      </c>
      <c r="Z148" s="35">
        <v>12175.12440106987</v>
      </c>
      <c r="AA148" s="35">
        <v>43034.026847537265</v>
      </c>
      <c r="AB148" s="35">
        <v>139745.09915966075</v>
      </c>
      <c r="AC148" s="35">
        <v>58378.083425623219</v>
      </c>
      <c r="AD148" s="35">
        <v>86497.117032336726</v>
      </c>
      <c r="AE148" s="35">
        <v>91469.036572743978</v>
      </c>
      <c r="AF148" s="35">
        <v>53698.917490087093</v>
      </c>
      <c r="AG148" s="35">
        <v>36473.691071377201</v>
      </c>
      <c r="AH148" s="35">
        <v>179750.31350728095</v>
      </c>
      <c r="AI148" s="35">
        <v>19232.415690242549</v>
      </c>
      <c r="AJ148" s="35">
        <v>19730.995927888711</v>
      </c>
      <c r="AK148" s="35">
        <v>49317.260275924687</v>
      </c>
      <c r="AL148" s="35">
        <v>141552.76171426754</v>
      </c>
      <c r="AM148" s="35">
        <v>50240.643179344392</v>
      </c>
      <c r="AN148" s="35">
        <v>372366.40617693763</v>
      </c>
      <c r="AO148" s="35">
        <v>702232.04950263188</v>
      </c>
      <c r="AP148" s="35">
        <v>79471.122101065674</v>
      </c>
      <c r="AQ148" s="35">
        <v>2409.476404047562</v>
      </c>
      <c r="AR148" s="35">
        <v>32911.443695206319</v>
      </c>
      <c r="AS148" s="35">
        <v>59348.008843493313</v>
      </c>
      <c r="AT148" s="35">
        <v>124177.47504970983</v>
      </c>
      <c r="AU148" s="35">
        <v>388513.53358557296</v>
      </c>
      <c r="AV148" s="35">
        <v>173682.68206397869</v>
      </c>
      <c r="AW148" s="35">
        <v>542473.29019276693</v>
      </c>
      <c r="AX148" s="35">
        <v>958314.03617420979</v>
      </c>
      <c r="AY148" s="35">
        <v>728487.09088345023</v>
      </c>
      <c r="AZ148" s="35">
        <v>615574.14943075681</v>
      </c>
      <c r="BA148" s="35">
        <v>199903.84596476474</v>
      </c>
      <c r="BB148" s="35">
        <v>19842.81248201077</v>
      </c>
      <c r="BC148" s="35">
        <v>6532.4276721127708</v>
      </c>
      <c r="BD148" s="35">
        <v>37700.014475462362</v>
      </c>
      <c r="BE148" s="35">
        <v>61794.139271354732</v>
      </c>
      <c r="BF148" s="35">
        <v>294503.92119553988</v>
      </c>
      <c r="BG148" s="35">
        <v>120330.55334316519</v>
      </c>
      <c r="BH148" s="35">
        <v>79901.885967559007</v>
      </c>
      <c r="BI148" s="35">
        <v>17086.111524853502</v>
      </c>
      <c r="BJ148" s="35">
        <v>1</v>
      </c>
      <c r="BK148" s="35">
        <v>415447.13575470215</v>
      </c>
      <c r="BL148" s="35">
        <v>183671.33318177791</v>
      </c>
      <c r="BM148" s="35">
        <v>36842.671479967066</v>
      </c>
      <c r="BN148" s="35">
        <v>109403.70373058459</v>
      </c>
      <c r="BO148" s="35">
        <v>14273.758076494889</v>
      </c>
      <c r="BP148" s="35">
        <v>25638.426968501579</v>
      </c>
      <c r="BQ148" s="35">
        <v>59771.082006278768</v>
      </c>
      <c r="BR148" s="35">
        <v>116809.99839601255</v>
      </c>
      <c r="BS148" s="35">
        <v>70773.227969502332</v>
      </c>
      <c r="BT148" s="35">
        <v>140471.81466346935</v>
      </c>
      <c r="BU148" s="35">
        <v>158141.11306080478</v>
      </c>
      <c r="BV148" s="35">
        <v>28012.521262510105</v>
      </c>
      <c r="BW148" s="35">
        <v>208930.67988678737</v>
      </c>
      <c r="BX148" s="35">
        <v>206883.52519499726</v>
      </c>
      <c r="BY148" s="35">
        <v>35436.014592855339</v>
      </c>
      <c r="BZ148" s="35">
        <v>78069.893098886547</v>
      </c>
      <c r="CA148" s="35">
        <v>20154.622162880674</v>
      </c>
      <c r="CB148" s="35">
        <v>78173.341494019711</v>
      </c>
      <c r="CC148" s="35">
        <v>208322.89390958936</v>
      </c>
      <c r="CD148" s="35">
        <v>121654.20698927726</v>
      </c>
      <c r="CE148" s="35">
        <v>138389.90079808343</v>
      </c>
      <c r="CF148" s="35">
        <v>247575.66395037499</v>
      </c>
      <c r="CG148" s="35">
        <v>132747.09496530987</v>
      </c>
      <c r="CH148" s="35">
        <v>132565.68088169565</v>
      </c>
      <c r="CI148" s="35">
        <v>406160.57531394681</v>
      </c>
      <c r="CJ148" s="35">
        <v>44281.333120544426</v>
      </c>
      <c r="CK148" s="35">
        <v>33992.17368526067</v>
      </c>
      <c r="CL148" s="35">
        <v>79763.348454109655</v>
      </c>
      <c r="CM148" s="35">
        <v>146854.92932603747</v>
      </c>
      <c r="CN148" s="35">
        <v>52547.474936707098</v>
      </c>
      <c r="CO148" s="35">
        <v>379526.81377365498</v>
      </c>
      <c r="CP148" s="35">
        <v>707794.80156764295</v>
      </c>
      <c r="CQ148" s="35">
        <v>110251.32752177581</v>
      </c>
      <c r="CR148" s="35">
        <v>144187.03470467502</v>
      </c>
      <c r="CS148" s="35">
        <v>401685.79557239864</v>
      </c>
      <c r="CT148" s="35">
        <v>26665.159662212798</v>
      </c>
      <c r="CU148" s="35">
        <v>8768.025130768634</v>
      </c>
      <c r="CV148" s="35">
        <v>61607.929587318395</v>
      </c>
      <c r="CW148" s="35">
        <v>174815.46189023033</v>
      </c>
      <c r="CX148" s="35">
        <v>562880.12771810137</v>
      </c>
      <c r="CY148" s="35">
        <v>1034264.0496645404</v>
      </c>
      <c r="CZ148" s="35">
        <v>731759.72964663012</v>
      </c>
      <c r="DA148" s="35">
        <v>660905.17656949291</v>
      </c>
      <c r="DB148" s="35">
        <v>5232.8934354532093</v>
      </c>
      <c r="DC148" s="35">
        <v>784295.30328815023</v>
      </c>
      <c r="DD148" s="35">
        <v>80640.864409768838</v>
      </c>
      <c r="DE148" s="35">
        <v>146535.98155909963</v>
      </c>
      <c r="DF148" s="35">
        <v>372605.45068548003</v>
      </c>
      <c r="DG148" s="35">
        <v>882965.70334565581</v>
      </c>
      <c r="DH148" s="35">
        <v>1398265.2090069195</v>
      </c>
      <c r="DI148" s="35">
        <v>61052.790993083603</v>
      </c>
      <c r="DJ148" s="35">
        <v>1552938.5975560301</v>
      </c>
      <c r="DK148" s="35">
        <v>61052.790993083603</v>
      </c>
      <c r="DL148" s="35">
        <v>44084.355958903601</v>
      </c>
      <c r="DM148" s="35">
        <v>60676.037751783355</v>
      </c>
      <c r="DN148" s="35">
        <v>75694.060148755845</v>
      </c>
      <c r="DO148" s="35">
        <v>87806.609504432432</v>
      </c>
      <c r="DP148" s="35">
        <v>103926.56524361648</v>
      </c>
      <c r="DQ148" s="35">
        <v>127594.73173927264</v>
      </c>
      <c r="DR148" s="35">
        <v>170395.87905661855</v>
      </c>
      <c r="DS148" s="35">
        <v>263588.42785549577</v>
      </c>
      <c r="DT148" s="35">
        <v>523800.40085373062</v>
      </c>
      <c r="DU148" s="35">
        <v>164219.79498405516</v>
      </c>
      <c r="DV148" s="35">
        <v>177554.97714361246</v>
      </c>
      <c r="DW148" s="35">
        <v>208567.60925599904</v>
      </c>
      <c r="DX148" s="35">
        <v>274626.99158743274</v>
      </c>
      <c r="DY148" s="35">
        <v>445289.55891629215</v>
      </c>
      <c r="DZ148" s="35">
        <v>1419578.0000000002</v>
      </c>
      <c r="EA148" s="35">
        <v>46078</v>
      </c>
      <c r="EB148" s="35">
        <v>466126.00000000006</v>
      </c>
      <c r="EC148" s="35">
        <v>37470</v>
      </c>
      <c r="ED148" s="35">
        <v>285432</v>
      </c>
      <c r="EE148" s="35">
        <v>-4.5474735088646412E-13</v>
      </c>
      <c r="EF148" s="35">
        <v>2.5011104298755527E-12</v>
      </c>
      <c r="EG148" s="35">
        <v>-9.6633812063373625E-13</v>
      </c>
      <c r="EH148" s="35">
        <v>643305.0076485856</v>
      </c>
      <c r="EI148" s="35">
        <v>31077.435246594669</v>
      </c>
      <c r="EJ148" s="35">
        <v>59877.442895178559</v>
      </c>
      <c r="EK148" s="35">
        <v>1195258.6267731716</v>
      </c>
      <c r="EL148" s="35">
        <v>29282633.482249022</v>
      </c>
    </row>
    <row r="149" spans="1:142" x14ac:dyDescent="0.25">
      <c r="A149" s="33"/>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c r="DR149" s="35"/>
      <c r="DS149" s="35"/>
      <c r="DT149" s="35"/>
      <c r="DU149" s="35"/>
      <c r="DV149" s="35"/>
      <c r="DW149" s="35"/>
      <c r="DX149" s="35"/>
      <c r="DY149" s="35"/>
      <c r="DZ149" s="35"/>
      <c r="EA149" s="35"/>
      <c r="EB149" s="35"/>
      <c r="EC149" s="35"/>
      <c r="ED149" s="35"/>
      <c r="EE149" s="35"/>
      <c r="EF149" s="35"/>
      <c r="EG149" s="35"/>
      <c r="EH149" s="35"/>
      <c r="EI149" s="35"/>
      <c r="EJ149" s="35"/>
      <c r="EK149" s="35"/>
      <c r="EL149" s="35"/>
    </row>
    <row r="150" spans="1:142" x14ac:dyDescent="0.25">
      <c r="A150" s="33"/>
    </row>
    <row r="152" spans="1:142" x14ac:dyDescent="0.25">
      <c r="A152" s="34"/>
    </row>
    <row r="155" spans="1:142" x14ac:dyDescent="0.25">
      <c r="A155" s="33" t="s">
        <v>357</v>
      </c>
      <c r="B155" s="2">
        <f t="shared" ref="B155:B186" si="0">MATCH(A155,$A$8:$A$148,0)</f>
        <v>1</v>
      </c>
    </row>
    <row r="156" spans="1:142" x14ac:dyDescent="0.25">
      <c r="A156" s="33" t="s">
        <v>356</v>
      </c>
      <c r="B156" s="2">
        <f t="shared" si="0"/>
        <v>2</v>
      </c>
    </row>
    <row r="157" spans="1:142" x14ac:dyDescent="0.25">
      <c r="A157" s="33" t="s">
        <v>355</v>
      </c>
      <c r="B157" s="2">
        <f t="shared" si="0"/>
        <v>3</v>
      </c>
    </row>
    <row r="158" spans="1:142" x14ac:dyDescent="0.25">
      <c r="A158" s="33" t="s">
        <v>354</v>
      </c>
      <c r="B158" s="2">
        <f t="shared" si="0"/>
        <v>4</v>
      </c>
    </row>
    <row r="159" spans="1:142" x14ac:dyDescent="0.25">
      <c r="A159" s="33" t="s">
        <v>353</v>
      </c>
      <c r="B159" s="2">
        <f t="shared" si="0"/>
        <v>5</v>
      </c>
    </row>
    <row r="160" spans="1:142" x14ac:dyDescent="0.25">
      <c r="A160" s="33" t="s">
        <v>352</v>
      </c>
      <c r="B160" s="2">
        <f t="shared" si="0"/>
        <v>6</v>
      </c>
    </row>
    <row r="161" spans="1:2" x14ac:dyDescent="0.25">
      <c r="A161" s="33" t="s">
        <v>351</v>
      </c>
      <c r="B161" s="2">
        <f t="shared" si="0"/>
        <v>7</v>
      </c>
    </row>
    <row r="162" spans="1:2" x14ac:dyDescent="0.25">
      <c r="A162" s="33" t="s">
        <v>350</v>
      </c>
      <c r="B162" s="2">
        <f t="shared" si="0"/>
        <v>8</v>
      </c>
    </row>
    <row r="163" spans="1:2" x14ac:dyDescent="0.25">
      <c r="A163" s="33" t="s">
        <v>349</v>
      </c>
      <c r="B163" s="2">
        <f t="shared" si="0"/>
        <v>9</v>
      </c>
    </row>
    <row r="164" spans="1:2" x14ac:dyDescent="0.25">
      <c r="A164" s="33" t="s">
        <v>348</v>
      </c>
      <c r="B164" s="2">
        <f t="shared" si="0"/>
        <v>10</v>
      </c>
    </row>
    <row r="165" spans="1:2" x14ac:dyDescent="0.25">
      <c r="A165" s="33" t="s">
        <v>347</v>
      </c>
      <c r="B165" s="2">
        <f t="shared" si="0"/>
        <v>11</v>
      </c>
    </row>
    <row r="166" spans="1:2" x14ac:dyDescent="0.25">
      <c r="A166" s="33" t="s">
        <v>346</v>
      </c>
      <c r="B166" s="2">
        <f t="shared" si="0"/>
        <v>12</v>
      </c>
    </row>
    <row r="167" spans="1:2" x14ac:dyDescent="0.25">
      <c r="A167" s="33" t="s">
        <v>345</v>
      </c>
      <c r="B167" s="2">
        <f t="shared" si="0"/>
        <v>13</v>
      </c>
    </row>
    <row r="168" spans="1:2" x14ac:dyDescent="0.25">
      <c r="A168" s="33" t="s">
        <v>344</v>
      </c>
      <c r="B168" s="2">
        <f t="shared" si="0"/>
        <v>14</v>
      </c>
    </row>
    <row r="169" spans="1:2" x14ac:dyDescent="0.25">
      <c r="A169" s="33" t="s">
        <v>343</v>
      </c>
      <c r="B169" s="2">
        <f t="shared" si="0"/>
        <v>15</v>
      </c>
    </row>
    <row r="170" spans="1:2" x14ac:dyDescent="0.25">
      <c r="A170" s="33" t="s">
        <v>342</v>
      </c>
      <c r="B170" s="2">
        <f t="shared" si="0"/>
        <v>16</v>
      </c>
    </row>
    <row r="171" spans="1:2" x14ac:dyDescent="0.25">
      <c r="A171" s="33" t="s">
        <v>341</v>
      </c>
      <c r="B171" s="2">
        <f t="shared" si="0"/>
        <v>17</v>
      </c>
    </row>
    <row r="172" spans="1:2" x14ac:dyDescent="0.25">
      <c r="A172" s="33" t="s">
        <v>340</v>
      </c>
      <c r="B172" s="2">
        <f t="shared" si="0"/>
        <v>18</v>
      </c>
    </row>
    <row r="173" spans="1:2" x14ac:dyDescent="0.25">
      <c r="A173" s="33" t="s">
        <v>339</v>
      </c>
      <c r="B173" s="2">
        <f t="shared" si="0"/>
        <v>19</v>
      </c>
    </row>
    <row r="174" spans="1:2" x14ac:dyDescent="0.25">
      <c r="A174" s="33" t="s">
        <v>338</v>
      </c>
      <c r="B174" s="2">
        <f t="shared" si="0"/>
        <v>20</v>
      </c>
    </row>
    <row r="175" spans="1:2" x14ac:dyDescent="0.25">
      <c r="A175" s="33" t="s">
        <v>337</v>
      </c>
      <c r="B175" s="2">
        <f t="shared" si="0"/>
        <v>21</v>
      </c>
    </row>
    <row r="176" spans="1:2" x14ac:dyDescent="0.25">
      <c r="A176" s="33" t="s">
        <v>336</v>
      </c>
      <c r="B176" s="2">
        <f t="shared" si="0"/>
        <v>22</v>
      </c>
    </row>
    <row r="177" spans="1:2" x14ac:dyDescent="0.25">
      <c r="A177" s="33" t="s">
        <v>335</v>
      </c>
      <c r="B177" s="2">
        <f t="shared" si="0"/>
        <v>23</v>
      </c>
    </row>
    <row r="178" spans="1:2" x14ac:dyDescent="0.25">
      <c r="A178" s="33" t="s">
        <v>334</v>
      </c>
      <c r="B178" s="2">
        <f t="shared" si="0"/>
        <v>24</v>
      </c>
    </row>
    <row r="179" spans="1:2" x14ac:dyDescent="0.25">
      <c r="A179" s="33" t="s">
        <v>333</v>
      </c>
      <c r="B179" s="2">
        <f t="shared" si="0"/>
        <v>25</v>
      </c>
    </row>
    <row r="180" spans="1:2" x14ac:dyDescent="0.25">
      <c r="A180" s="33" t="s">
        <v>332</v>
      </c>
      <c r="B180" s="2">
        <f t="shared" si="0"/>
        <v>26</v>
      </c>
    </row>
    <row r="181" spans="1:2" x14ac:dyDescent="0.25">
      <c r="A181" s="33" t="s">
        <v>331</v>
      </c>
      <c r="B181" s="2">
        <f t="shared" si="0"/>
        <v>27</v>
      </c>
    </row>
    <row r="182" spans="1:2" x14ac:dyDescent="0.25">
      <c r="A182" s="33" t="s">
        <v>330</v>
      </c>
      <c r="B182" s="2">
        <f t="shared" si="0"/>
        <v>28</v>
      </c>
    </row>
    <row r="183" spans="1:2" x14ac:dyDescent="0.25">
      <c r="A183" s="33" t="s">
        <v>329</v>
      </c>
      <c r="B183" s="2">
        <f t="shared" si="0"/>
        <v>29</v>
      </c>
    </row>
    <row r="184" spans="1:2" x14ac:dyDescent="0.25">
      <c r="A184" s="33" t="s">
        <v>328</v>
      </c>
      <c r="B184" s="2">
        <f t="shared" si="0"/>
        <v>30</v>
      </c>
    </row>
    <row r="185" spans="1:2" x14ac:dyDescent="0.25">
      <c r="A185" s="33" t="s">
        <v>327</v>
      </c>
      <c r="B185" s="2">
        <f t="shared" si="0"/>
        <v>31</v>
      </c>
    </row>
    <row r="186" spans="1:2" x14ac:dyDescent="0.25">
      <c r="A186" s="33" t="s">
        <v>326</v>
      </c>
      <c r="B186" s="2">
        <f t="shared" si="0"/>
        <v>32</v>
      </c>
    </row>
    <row r="187" spans="1:2" x14ac:dyDescent="0.25">
      <c r="A187" s="33" t="s">
        <v>325</v>
      </c>
      <c r="B187" s="2">
        <f t="shared" ref="B187:B218" si="1">MATCH(A187,$A$8:$A$148,0)</f>
        <v>33</v>
      </c>
    </row>
    <row r="188" spans="1:2" x14ac:dyDescent="0.25">
      <c r="A188" s="33" t="s">
        <v>324</v>
      </c>
      <c r="B188" s="2">
        <f t="shared" si="1"/>
        <v>34</v>
      </c>
    </row>
    <row r="189" spans="1:2" x14ac:dyDescent="0.25">
      <c r="A189" s="33" t="s">
        <v>323</v>
      </c>
      <c r="B189" s="2">
        <f t="shared" si="1"/>
        <v>35</v>
      </c>
    </row>
    <row r="190" spans="1:2" x14ac:dyDescent="0.25">
      <c r="A190" s="33" t="s">
        <v>322</v>
      </c>
      <c r="B190" s="2">
        <f t="shared" si="1"/>
        <v>36</v>
      </c>
    </row>
    <row r="191" spans="1:2" x14ac:dyDescent="0.25">
      <c r="A191" s="33" t="s">
        <v>321</v>
      </c>
      <c r="B191" s="2">
        <f t="shared" si="1"/>
        <v>37</v>
      </c>
    </row>
    <row r="192" spans="1:2" x14ac:dyDescent="0.25">
      <c r="A192" s="33" t="s">
        <v>320</v>
      </c>
      <c r="B192" s="2">
        <f t="shared" si="1"/>
        <v>38</v>
      </c>
    </row>
    <row r="193" spans="1:2" x14ac:dyDescent="0.25">
      <c r="A193" s="33" t="s">
        <v>319</v>
      </c>
      <c r="B193" s="2">
        <f t="shared" si="1"/>
        <v>39</v>
      </c>
    </row>
    <row r="194" spans="1:2" x14ac:dyDescent="0.25">
      <c r="A194" s="33" t="s">
        <v>318</v>
      </c>
      <c r="B194" s="2">
        <f t="shared" si="1"/>
        <v>40</v>
      </c>
    </row>
    <row r="195" spans="1:2" x14ac:dyDescent="0.25">
      <c r="A195" s="33" t="s">
        <v>317</v>
      </c>
      <c r="B195" s="2">
        <f t="shared" si="1"/>
        <v>41</v>
      </c>
    </row>
    <row r="196" spans="1:2" x14ac:dyDescent="0.25">
      <c r="A196" s="33" t="s">
        <v>316</v>
      </c>
      <c r="B196" s="2">
        <f t="shared" si="1"/>
        <v>42</v>
      </c>
    </row>
    <row r="197" spans="1:2" x14ac:dyDescent="0.25">
      <c r="A197" s="33" t="s">
        <v>315</v>
      </c>
      <c r="B197" s="2">
        <f t="shared" si="1"/>
        <v>43</v>
      </c>
    </row>
    <row r="198" spans="1:2" x14ac:dyDescent="0.25">
      <c r="A198" s="33" t="s">
        <v>314</v>
      </c>
      <c r="B198" s="2">
        <f t="shared" si="1"/>
        <v>44</v>
      </c>
    </row>
    <row r="199" spans="1:2" x14ac:dyDescent="0.25">
      <c r="A199" s="33" t="s">
        <v>313</v>
      </c>
      <c r="B199" s="2">
        <f t="shared" si="1"/>
        <v>45</v>
      </c>
    </row>
    <row r="200" spans="1:2" x14ac:dyDescent="0.25">
      <c r="A200" s="33" t="s">
        <v>312</v>
      </c>
      <c r="B200" s="2">
        <f t="shared" si="1"/>
        <v>46</v>
      </c>
    </row>
    <row r="201" spans="1:2" x14ac:dyDescent="0.25">
      <c r="A201" s="33" t="s">
        <v>311</v>
      </c>
      <c r="B201" s="2">
        <f t="shared" si="1"/>
        <v>47</v>
      </c>
    </row>
    <row r="202" spans="1:2" x14ac:dyDescent="0.25">
      <c r="A202" s="33" t="s">
        <v>310</v>
      </c>
      <c r="B202" s="2">
        <f t="shared" si="1"/>
        <v>48</v>
      </c>
    </row>
    <row r="203" spans="1:2" x14ac:dyDescent="0.25">
      <c r="A203" s="33" t="s">
        <v>309</v>
      </c>
      <c r="B203" s="2">
        <f t="shared" si="1"/>
        <v>49</v>
      </c>
    </row>
    <row r="204" spans="1:2" x14ac:dyDescent="0.25">
      <c r="A204" s="33" t="s">
        <v>308</v>
      </c>
      <c r="B204" s="2">
        <f t="shared" si="1"/>
        <v>50</v>
      </c>
    </row>
    <row r="205" spans="1:2" x14ac:dyDescent="0.25">
      <c r="A205" s="33" t="s">
        <v>307</v>
      </c>
      <c r="B205" s="2">
        <f t="shared" si="1"/>
        <v>51</v>
      </c>
    </row>
    <row r="206" spans="1:2" x14ac:dyDescent="0.25">
      <c r="A206" s="33" t="s">
        <v>306</v>
      </c>
      <c r="B206" s="2">
        <f t="shared" si="1"/>
        <v>52</v>
      </c>
    </row>
    <row r="207" spans="1:2" x14ac:dyDescent="0.25">
      <c r="A207" s="33" t="s">
        <v>305</v>
      </c>
      <c r="B207" s="2">
        <f t="shared" si="1"/>
        <v>53</v>
      </c>
    </row>
    <row r="208" spans="1:2" x14ac:dyDescent="0.25">
      <c r="A208" s="33" t="s">
        <v>304</v>
      </c>
      <c r="B208" s="2">
        <f t="shared" si="1"/>
        <v>54</v>
      </c>
    </row>
    <row r="209" spans="1:2" x14ac:dyDescent="0.25">
      <c r="A209" s="33" t="s">
        <v>303</v>
      </c>
      <c r="B209" s="2">
        <f t="shared" si="1"/>
        <v>55</v>
      </c>
    </row>
    <row r="210" spans="1:2" x14ac:dyDescent="0.25">
      <c r="A210" s="33" t="s">
        <v>302</v>
      </c>
      <c r="B210" s="2">
        <f t="shared" si="1"/>
        <v>56</v>
      </c>
    </row>
    <row r="211" spans="1:2" x14ac:dyDescent="0.25">
      <c r="A211" s="33" t="s">
        <v>301</v>
      </c>
      <c r="B211" s="2">
        <f t="shared" si="1"/>
        <v>57</v>
      </c>
    </row>
    <row r="212" spans="1:2" x14ac:dyDescent="0.25">
      <c r="A212" s="33" t="s">
        <v>300</v>
      </c>
      <c r="B212" s="2">
        <f t="shared" si="1"/>
        <v>58</v>
      </c>
    </row>
    <row r="213" spans="1:2" x14ac:dyDescent="0.25">
      <c r="A213" s="33" t="s">
        <v>299</v>
      </c>
      <c r="B213" s="2">
        <f t="shared" si="1"/>
        <v>59</v>
      </c>
    </row>
    <row r="214" spans="1:2" x14ac:dyDescent="0.25">
      <c r="A214" s="33" t="s">
        <v>298</v>
      </c>
      <c r="B214" s="2">
        <f t="shared" si="1"/>
        <v>60</v>
      </c>
    </row>
    <row r="215" spans="1:2" x14ac:dyDescent="0.25">
      <c r="A215" s="33" t="s">
        <v>297</v>
      </c>
      <c r="B215" s="2">
        <f t="shared" si="1"/>
        <v>61</v>
      </c>
    </row>
    <row r="216" spans="1:2" x14ac:dyDescent="0.25">
      <c r="A216" s="33" t="s">
        <v>296</v>
      </c>
      <c r="B216" s="2">
        <f t="shared" si="1"/>
        <v>62</v>
      </c>
    </row>
    <row r="217" spans="1:2" x14ac:dyDescent="0.25">
      <c r="A217" s="33" t="s">
        <v>295</v>
      </c>
      <c r="B217" s="2">
        <f t="shared" si="1"/>
        <v>63</v>
      </c>
    </row>
    <row r="218" spans="1:2" x14ac:dyDescent="0.25">
      <c r="A218" s="33" t="s">
        <v>294</v>
      </c>
      <c r="B218" s="2">
        <f t="shared" si="1"/>
        <v>64</v>
      </c>
    </row>
    <row r="219" spans="1:2" x14ac:dyDescent="0.25">
      <c r="A219" s="33" t="s">
        <v>293</v>
      </c>
      <c r="B219" s="2">
        <f t="shared" ref="B219:B250" si="2">MATCH(A219,$A$8:$A$148,0)</f>
        <v>65</v>
      </c>
    </row>
    <row r="220" spans="1:2" x14ac:dyDescent="0.25">
      <c r="A220" s="33" t="s">
        <v>292</v>
      </c>
      <c r="B220" s="2">
        <f t="shared" si="2"/>
        <v>66</v>
      </c>
    </row>
    <row r="221" spans="1:2" x14ac:dyDescent="0.25">
      <c r="A221" s="33" t="s">
        <v>291</v>
      </c>
      <c r="B221" s="2">
        <f t="shared" si="2"/>
        <v>67</v>
      </c>
    </row>
    <row r="222" spans="1:2" x14ac:dyDescent="0.25">
      <c r="A222" s="33" t="s">
        <v>290</v>
      </c>
      <c r="B222" s="2">
        <f t="shared" si="2"/>
        <v>68</v>
      </c>
    </row>
    <row r="223" spans="1:2" x14ac:dyDescent="0.25">
      <c r="A223" s="33" t="s">
        <v>289</v>
      </c>
      <c r="B223" s="2">
        <f t="shared" si="2"/>
        <v>69</v>
      </c>
    </row>
    <row r="224" spans="1:2" x14ac:dyDescent="0.25">
      <c r="A224" s="33" t="s">
        <v>288</v>
      </c>
      <c r="B224" s="2">
        <f t="shared" si="2"/>
        <v>70</v>
      </c>
    </row>
    <row r="225" spans="1:2" x14ac:dyDescent="0.25">
      <c r="A225" s="33" t="s">
        <v>287</v>
      </c>
      <c r="B225" s="2">
        <f t="shared" si="2"/>
        <v>71</v>
      </c>
    </row>
    <row r="226" spans="1:2" x14ac:dyDescent="0.25">
      <c r="A226" s="33" t="s">
        <v>286</v>
      </c>
      <c r="B226" s="2">
        <f t="shared" si="2"/>
        <v>72</v>
      </c>
    </row>
    <row r="227" spans="1:2" x14ac:dyDescent="0.25">
      <c r="A227" s="33" t="s">
        <v>285</v>
      </c>
      <c r="B227" s="2">
        <f t="shared" si="2"/>
        <v>73</v>
      </c>
    </row>
    <row r="228" spans="1:2" x14ac:dyDescent="0.25">
      <c r="A228" s="33" t="s">
        <v>284</v>
      </c>
      <c r="B228" s="2">
        <f t="shared" si="2"/>
        <v>74</v>
      </c>
    </row>
    <row r="229" spans="1:2" x14ac:dyDescent="0.25">
      <c r="A229" s="33" t="s">
        <v>283</v>
      </c>
      <c r="B229" s="2">
        <f t="shared" si="2"/>
        <v>75</v>
      </c>
    </row>
    <row r="230" spans="1:2" x14ac:dyDescent="0.25">
      <c r="A230" s="33" t="s">
        <v>282</v>
      </c>
      <c r="B230" s="2">
        <f t="shared" si="2"/>
        <v>76</v>
      </c>
    </row>
    <row r="231" spans="1:2" x14ac:dyDescent="0.25">
      <c r="A231" s="33" t="s">
        <v>281</v>
      </c>
      <c r="B231" s="2">
        <f t="shared" si="2"/>
        <v>77</v>
      </c>
    </row>
    <row r="232" spans="1:2" x14ac:dyDescent="0.25">
      <c r="A232" s="33" t="s">
        <v>280</v>
      </c>
      <c r="B232" s="2">
        <f t="shared" si="2"/>
        <v>78</v>
      </c>
    </row>
    <row r="233" spans="1:2" x14ac:dyDescent="0.25">
      <c r="A233" s="33" t="s">
        <v>279</v>
      </c>
      <c r="B233" s="2">
        <f t="shared" si="2"/>
        <v>79</v>
      </c>
    </row>
    <row r="234" spans="1:2" x14ac:dyDescent="0.25">
      <c r="A234" s="33" t="s">
        <v>278</v>
      </c>
      <c r="B234" s="2">
        <f t="shared" si="2"/>
        <v>80</v>
      </c>
    </row>
    <row r="235" spans="1:2" x14ac:dyDescent="0.25">
      <c r="A235" s="33" t="s">
        <v>277</v>
      </c>
      <c r="B235" s="2">
        <f t="shared" si="2"/>
        <v>81</v>
      </c>
    </row>
    <row r="236" spans="1:2" x14ac:dyDescent="0.25">
      <c r="A236" s="33" t="s">
        <v>276</v>
      </c>
      <c r="B236" s="2">
        <f t="shared" si="2"/>
        <v>82</v>
      </c>
    </row>
    <row r="237" spans="1:2" x14ac:dyDescent="0.25">
      <c r="A237" s="33" t="s">
        <v>275</v>
      </c>
      <c r="B237" s="2">
        <f t="shared" si="2"/>
        <v>83</v>
      </c>
    </row>
    <row r="238" spans="1:2" x14ac:dyDescent="0.25">
      <c r="A238" s="33" t="s">
        <v>274</v>
      </c>
      <c r="B238" s="2">
        <f t="shared" si="2"/>
        <v>84</v>
      </c>
    </row>
    <row r="239" spans="1:2" x14ac:dyDescent="0.25">
      <c r="A239" s="33" t="s">
        <v>273</v>
      </c>
      <c r="B239" s="2">
        <f t="shared" si="2"/>
        <v>85</v>
      </c>
    </row>
    <row r="240" spans="1:2" x14ac:dyDescent="0.25">
      <c r="A240" s="33" t="s">
        <v>272</v>
      </c>
      <c r="B240" s="2">
        <f t="shared" si="2"/>
        <v>86</v>
      </c>
    </row>
    <row r="241" spans="1:2" x14ac:dyDescent="0.25">
      <c r="A241" s="33" t="s">
        <v>271</v>
      </c>
      <c r="B241" s="2">
        <f t="shared" si="2"/>
        <v>87</v>
      </c>
    </row>
    <row r="242" spans="1:2" x14ac:dyDescent="0.25">
      <c r="A242" s="33" t="s">
        <v>270</v>
      </c>
      <c r="B242" s="2">
        <f t="shared" si="2"/>
        <v>88</v>
      </c>
    </row>
    <row r="243" spans="1:2" x14ac:dyDescent="0.25">
      <c r="A243" s="33" t="s">
        <v>269</v>
      </c>
      <c r="B243" s="2">
        <f t="shared" si="2"/>
        <v>89</v>
      </c>
    </row>
    <row r="244" spans="1:2" x14ac:dyDescent="0.25">
      <c r="A244" s="33" t="s">
        <v>268</v>
      </c>
      <c r="B244" s="2">
        <f t="shared" si="2"/>
        <v>90</v>
      </c>
    </row>
    <row r="245" spans="1:2" x14ac:dyDescent="0.25">
      <c r="A245" s="33" t="s">
        <v>267</v>
      </c>
      <c r="B245" s="2">
        <f t="shared" si="2"/>
        <v>91</v>
      </c>
    </row>
    <row r="246" spans="1:2" x14ac:dyDescent="0.25">
      <c r="A246" s="33" t="s">
        <v>266</v>
      </c>
      <c r="B246" s="2">
        <f t="shared" si="2"/>
        <v>92</v>
      </c>
    </row>
    <row r="247" spans="1:2" x14ac:dyDescent="0.25">
      <c r="A247" s="33" t="s">
        <v>265</v>
      </c>
      <c r="B247" s="2">
        <f t="shared" si="2"/>
        <v>93</v>
      </c>
    </row>
    <row r="248" spans="1:2" x14ac:dyDescent="0.25">
      <c r="A248" s="33" t="s">
        <v>264</v>
      </c>
      <c r="B248" s="2">
        <f t="shared" si="2"/>
        <v>94</v>
      </c>
    </row>
    <row r="249" spans="1:2" x14ac:dyDescent="0.25">
      <c r="A249" s="33" t="s">
        <v>263</v>
      </c>
      <c r="B249" s="2">
        <f t="shared" si="2"/>
        <v>95</v>
      </c>
    </row>
    <row r="250" spans="1:2" x14ac:dyDescent="0.25">
      <c r="A250" s="33" t="s">
        <v>262</v>
      </c>
      <c r="B250" s="2">
        <f t="shared" si="2"/>
        <v>96</v>
      </c>
    </row>
    <row r="251" spans="1:2" x14ac:dyDescent="0.25">
      <c r="A251" s="33" t="s">
        <v>261</v>
      </c>
      <c r="B251" s="2">
        <f t="shared" ref="B251:B282" si="3">MATCH(A251,$A$8:$A$148,0)</f>
        <v>97</v>
      </c>
    </row>
    <row r="252" spans="1:2" x14ac:dyDescent="0.25">
      <c r="A252" s="33" t="s">
        <v>260</v>
      </c>
      <c r="B252" s="2">
        <f t="shared" si="3"/>
        <v>98</v>
      </c>
    </row>
    <row r="253" spans="1:2" x14ac:dyDescent="0.25">
      <c r="A253" s="33" t="s">
        <v>259</v>
      </c>
      <c r="B253" s="2">
        <f t="shared" si="3"/>
        <v>99</v>
      </c>
    </row>
    <row r="254" spans="1:2" x14ac:dyDescent="0.25">
      <c r="A254" s="33" t="s">
        <v>258</v>
      </c>
      <c r="B254" s="2">
        <f t="shared" si="3"/>
        <v>100</v>
      </c>
    </row>
    <row r="255" spans="1:2" x14ac:dyDescent="0.25">
      <c r="A255" s="33" t="s">
        <v>257</v>
      </c>
      <c r="B255" s="2">
        <f t="shared" si="3"/>
        <v>101</v>
      </c>
    </row>
    <row r="256" spans="1:2" x14ac:dyDescent="0.25">
      <c r="A256" s="33" t="s">
        <v>256</v>
      </c>
      <c r="B256" s="2">
        <f t="shared" si="3"/>
        <v>102</v>
      </c>
    </row>
    <row r="257" spans="1:2" x14ac:dyDescent="0.25">
      <c r="A257" s="33" t="s">
        <v>255</v>
      </c>
      <c r="B257" s="2">
        <f t="shared" si="3"/>
        <v>103</v>
      </c>
    </row>
    <row r="258" spans="1:2" x14ac:dyDescent="0.25">
      <c r="A258" s="33" t="s">
        <v>254</v>
      </c>
      <c r="B258" s="2">
        <f t="shared" si="3"/>
        <v>104</v>
      </c>
    </row>
    <row r="259" spans="1:2" x14ac:dyDescent="0.25">
      <c r="A259" s="33" t="s">
        <v>253</v>
      </c>
      <c r="B259" s="2">
        <f t="shared" si="3"/>
        <v>105</v>
      </c>
    </row>
    <row r="260" spans="1:2" x14ac:dyDescent="0.25">
      <c r="A260" s="33" t="s">
        <v>252</v>
      </c>
      <c r="B260" s="2">
        <f t="shared" si="3"/>
        <v>106</v>
      </c>
    </row>
    <row r="261" spans="1:2" x14ac:dyDescent="0.25">
      <c r="A261" s="33" t="s">
        <v>134</v>
      </c>
      <c r="B261" s="2">
        <f t="shared" si="3"/>
        <v>107</v>
      </c>
    </row>
    <row r="262" spans="1:2" x14ac:dyDescent="0.25">
      <c r="A262" s="33" t="s">
        <v>132</v>
      </c>
      <c r="B262" s="2">
        <f t="shared" si="3"/>
        <v>108</v>
      </c>
    </row>
    <row r="263" spans="1:2" x14ac:dyDescent="0.25">
      <c r="A263" s="33" t="s">
        <v>130</v>
      </c>
      <c r="B263" s="2">
        <f t="shared" si="3"/>
        <v>109</v>
      </c>
    </row>
    <row r="264" spans="1:2" x14ac:dyDescent="0.25">
      <c r="A264" s="33" t="s">
        <v>128</v>
      </c>
      <c r="B264" s="2">
        <f t="shared" si="3"/>
        <v>110</v>
      </c>
    </row>
    <row r="265" spans="1:2" x14ac:dyDescent="0.25">
      <c r="A265" s="33" t="s">
        <v>251</v>
      </c>
      <c r="B265" s="2">
        <f t="shared" si="3"/>
        <v>111</v>
      </c>
    </row>
    <row r="266" spans="1:2" x14ac:dyDescent="0.25">
      <c r="A266" s="33" t="s">
        <v>250</v>
      </c>
      <c r="B266" s="2">
        <f t="shared" si="3"/>
        <v>112</v>
      </c>
    </row>
    <row r="267" spans="1:2" x14ac:dyDescent="0.25">
      <c r="A267" s="33" t="s">
        <v>249</v>
      </c>
      <c r="B267" s="2">
        <f t="shared" si="3"/>
        <v>113</v>
      </c>
    </row>
    <row r="268" spans="1:2" x14ac:dyDescent="0.25">
      <c r="A268" s="33" t="s">
        <v>248</v>
      </c>
      <c r="B268" s="2">
        <f t="shared" si="3"/>
        <v>114</v>
      </c>
    </row>
    <row r="269" spans="1:2" x14ac:dyDescent="0.25">
      <c r="A269" s="33" t="s">
        <v>247</v>
      </c>
      <c r="B269" s="2">
        <f t="shared" si="3"/>
        <v>115</v>
      </c>
    </row>
    <row r="270" spans="1:2" x14ac:dyDescent="0.25">
      <c r="A270" s="33" t="s">
        <v>246</v>
      </c>
      <c r="B270" s="2">
        <f t="shared" si="3"/>
        <v>116</v>
      </c>
    </row>
    <row r="271" spans="1:2" x14ac:dyDescent="0.25">
      <c r="A271" s="33" t="s">
        <v>245</v>
      </c>
      <c r="B271" s="2">
        <f t="shared" si="3"/>
        <v>117</v>
      </c>
    </row>
    <row r="272" spans="1:2" x14ac:dyDescent="0.25">
      <c r="A272" s="33" t="s">
        <v>244</v>
      </c>
      <c r="B272" s="2">
        <f t="shared" si="3"/>
        <v>118</v>
      </c>
    </row>
    <row r="273" spans="1:2" x14ac:dyDescent="0.25">
      <c r="A273" s="33" t="s">
        <v>243</v>
      </c>
      <c r="B273" s="2">
        <f t="shared" si="3"/>
        <v>119</v>
      </c>
    </row>
    <row r="274" spans="1:2" x14ac:dyDescent="0.25">
      <c r="A274" s="33" t="s">
        <v>242</v>
      </c>
      <c r="B274" s="2">
        <f t="shared" si="3"/>
        <v>120</v>
      </c>
    </row>
    <row r="275" spans="1:2" x14ac:dyDescent="0.25">
      <c r="A275" s="33" t="s">
        <v>241</v>
      </c>
      <c r="B275" s="2">
        <f t="shared" si="3"/>
        <v>121</v>
      </c>
    </row>
    <row r="276" spans="1:2" x14ac:dyDescent="0.25">
      <c r="A276" s="33" t="s">
        <v>240</v>
      </c>
      <c r="B276" s="2">
        <f t="shared" si="3"/>
        <v>122</v>
      </c>
    </row>
    <row r="277" spans="1:2" x14ac:dyDescent="0.25">
      <c r="A277" s="33" t="s">
        <v>239</v>
      </c>
      <c r="B277" s="2">
        <f t="shared" si="3"/>
        <v>123</v>
      </c>
    </row>
    <row r="278" spans="1:2" x14ac:dyDescent="0.25">
      <c r="A278" s="33" t="s">
        <v>238</v>
      </c>
      <c r="B278" s="2">
        <f t="shared" si="3"/>
        <v>124</v>
      </c>
    </row>
    <row r="279" spans="1:2" x14ac:dyDescent="0.25">
      <c r="A279" s="33" t="s">
        <v>237</v>
      </c>
      <c r="B279" s="2">
        <f t="shared" si="3"/>
        <v>125</v>
      </c>
    </row>
    <row r="280" spans="1:2" x14ac:dyDescent="0.25">
      <c r="A280" s="33" t="s">
        <v>236</v>
      </c>
      <c r="B280" s="2">
        <f t="shared" si="3"/>
        <v>126</v>
      </c>
    </row>
    <row r="281" spans="1:2" x14ac:dyDescent="0.25">
      <c r="A281" s="33" t="s">
        <v>235</v>
      </c>
      <c r="B281" s="2">
        <f t="shared" si="3"/>
        <v>127</v>
      </c>
    </row>
    <row r="282" spans="1:2" x14ac:dyDescent="0.25">
      <c r="A282" s="33" t="s">
        <v>234</v>
      </c>
      <c r="B282" s="2">
        <f t="shared" si="3"/>
        <v>128</v>
      </c>
    </row>
    <row r="283" spans="1:2" x14ac:dyDescent="0.25">
      <c r="A283" s="33" t="s">
        <v>233</v>
      </c>
      <c r="B283" s="2">
        <f t="shared" ref="B283:B295" si="4">MATCH(A283,$A$8:$A$148,0)</f>
        <v>129</v>
      </c>
    </row>
    <row r="284" spans="1:2" x14ac:dyDescent="0.25">
      <c r="A284" s="33" t="s">
        <v>232</v>
      </c>
      <c r="B284" s="2">
        <f t="shared" si="4"/>
        <v>130</v>
      </c>
    </row>
    <row r="285" spans="1:2" x14ac:dyDescent="0.25">
      <c r="A285" s="33" t="s">
        <v>231</v>
      </c>
      <c r="B285" s="2">
        <f t="shared" si="4"/>
        <v>131</v>
      </c>
    </row>
    <row r="286" spans="1:2" x14ac:dyDescent="0.25">
      <c r="A286" s="33" t="s">
        <v>230</v>
      </c>
      <c r="B286" s="2">
        <f t="shared" si="4"/>
        <v>132</v>
      </c>
    </row>
    <row r="287" spans="1:2" x14ac:dyDescent="0.25">
      <c r="A287" s="33" t="s">
        <v>229</v>
      </c>
      <c r="B287" s="2">
        <f t="shared" si="4"/>
        <v>133</v>
      </c>
    </row>
    <row r="288" spans="1:2" x14ac:dyDescent="0.25">
      <c r="A288" s="33" t="s">
        <v>228</v>
      </c>
      <c r="B288" s="2">
        <f t="shared" si="4"/>
        <v>134</v>
      </c>
    </row>
    <row r="289" spans="1:2" x14ac:dyDescent="0.25">
      <c r="A289" s="33" t="s">
        <v>227</v>
      </c>
      <c r="B289" s="2">
        <f t="shared" si="4"/>
        <v>135</v>
      </c>
    </row>
    <row r="290" spans="1:2" x14ac:dyDescent="0.25">
      <c r="A290" s="33" t="s">
        <v>226</v>
      </c>
      <c r="B290" s="2">
        <f t="shared" si="4"/>
        <v>136</v>
      </c>
    </row>
    <row r="291" spans="1:2" x14ac:dyDescent="0.25">
      <c r="A291" s="33" t="s">
        <v>225</v>
      </c>
      <c r="B291" s="2">
        <f t="shared" si="4"/>
        <v>137</v>
      </c>
    </row>
    <row r="292" spans="1:2" x14ac:dyDescent="0.25">
      <c r="A292" s="33" t="s">
        <v>224</v>
      </c>
      <c r="B292" s="2">
        <f t="shared" si="4"/>
        <v>138</v>
      </c>
    </row>
    <row r="293" spans="1:2" x14ac:dyDescent="0.25">
      <c r="A293" s="33" t="s">
        <v>223</v>
      </c>
      <c r="B293" s="2">
        <f t="shared" si="4"/>
        <v>139</v>
      </c>
    </row>
    <row r="294" spans="1:2" x14ac:dyDescent="0.25">
      <c r="A294" s="33" t="s">
        <v>222</v>
      </c>
      <c r="B294" s="2">
        <f t="shared" si="4"/>
        <v>140</v>
      </c>
    </row>
    <row r="295" spans="1:2" x14ac:dyDescent="0.25">
      <c r="A295" s="33" t="s">
        <v>221</v>
      </c>
      <c r="B295" s="2">
        <f t="shared" si="4"/>
        <v>141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C257E-E2ED-4761-AD39-C0EB8BB9C5DF}">
  <sheetPr codeName="Sheet4">
    <tabColor theme="5"/>
  </sheetPr>
  <dimension ref="C4:AC42"/>
  <sheetViews>
    <sheetView workbookViewId="0"/>
  </sheetViews>
  <sheetFormatPr defaultRowHeight="15" x14ac:dyDescent="0.25"/>
  <cols>
    <col min="1" max="16384" width="9.140625" style="2"/>
  </cols>
  <sheetData>
    <row r="4" spans="3:29" x14ac:dyDescent="0.25">
      <c r="C4" s="43" t="s">
        <v>386</v>
      </c>
      <c r="R4" s="43" t="s">
        <v>385</v>
      </c>
    </row>
    <row r="5" spans="3:29" x14ac:dyDescent="0.25">
      <c r="D5" s="33" t="s">
        <v>384</v>
      </c>
      <c r="E5" s="33" t="s">
        <v>383</v>
      </c>
      <c r="F5" s="33" t="s">
        <v>379</v>
      </c>
      <c r="G5" s="33" t="s">
        <v>378</v>
      </c>
      <c r="H5" s="33" t="s">
        <v>376</v>
      </c>
      <c r="I5" s="33" t="s">
        <v>375</v>
      </c>
      <c r="J5" s="33" t="s">
        <v>374</v>
      </c>
      <c r="K5" s="33" t="s">
        <v>372</v>
      </c>
      <c r="L5" s="33" t="s">
        <v>371</v>
      </c>
      <c r="M5" s="33" t="s">
        <v>370</v>
      </c>
      <c r="S5" s="41" t="str">
        <f t="shared" ref="S5:AB5" si="0">D5</f>
        <v>aelec-cds</v>
      </c>
      <c r="T5" s="41" t="str">
        <f t="shared" si="0"/>
        <v>aelec-clw</v>
      </c>
      <c r="U5" s="41" t="str">
        <f t="shared" si="0"/>
        <v>aelec-nuc</v>
      </c>
      <c r="V5" s="41" t="str">
        <f t="shared" si="0"/>
        <v>aelec-hyd</v>
      </c>
      <c r="W5" s="41" t="str">
        <f t="shared" si="0"/>
        <v>aelec-spv</v>
      </c>
      <c r="X5" s="41" t="str">
        <f t="shared" si="0"/>
        <v>aelec-sth</v>
      </c>
      <c r="Y5" s="41" t="str">
        <f t="shared" si="0"/>
        <v>aelec-wnd</v>
      </c>
      <c r="Z5" s="41" t="str">
        <f t="shared" si="0"/>
        <v>aelec-was</v>
      </c>
      <c r="AA5" s="41" t="str">
        <f t="shared" si="0"/>
        <v>aelec-gas</v>
      </c>
      <c r="AB5" s="41" t="str">
        <f t="shared" si="0"/>
        <v>aelec-die</v>
      </c>
      <c r="AC5" s="41"/>
    </row>
    <row r="6" spans="3:29" x14ac:dyDescent="0.25">
      <c r="C6" s="33" t="s">
        <v>134</v>
      </c>
      <c r="D6" s="49">
        <v>5.5359136974080028E-3</v>
      </c>
      <c r="E6" s="49">
        <v>635.43715472874203</v>
      </c>
      <c r="F6" s="49">
        <v>55.737684886956472</v>
      </c>
      <c r="G6" s="49">
        <v>15.558477645602791</v>
      </c>
      <c r="H6" s="49">
        <v>1.2638151456797704</v>
      </c>
      <c r="I6" s="49">
        <v>1.895722718519655</v>
      </c>
      <c r="J6" s="49">
        <v>0.19140148178998009</v>
      </c>
      <c r="K6" s="49">
        <v>0.4472884347779556</v>
      </c>
      <c r="L6" s="49">
        <v>2.2959613772860512E-4</v>
      </c>
      <c r="M6" s="49">
        <v>3.9462523706314645E-2</v>
      </c>
      <c r="N6" s="46">
        <f>SUM(D6:M6)</f>
        <v>710.57677307561016</v>
      </c>
      <c r="O6" s="48">
        <f>N6/N$10</f>
        <v>5.4339540384218087E-2</v>
      </c>
      <c r="R6" s="41" t="s">
        <v>134</v>
      </c>
      <c r="S6" s="41">
        <f t="shared" ref="S6:AB9" si="1">D6/D$10</f>
        <v>5.3915698604368005E-2</v>
      </c>
      <c r="T6" s="41">
        <f t="shared" si="1"/>
        <v>5.3915698604367998E-2</v>
      </c>
      <c r="U6" s="41">
        <f t="shared" si="1"/>
        <v>7.2357539706410276E-2</v>
      </c>
      <c r="V6" s="41">
        <f t="shared" si="1"/>
        <v>3.4953557996307484E-2</v>
      </c>
      <c r="W6" s="41">
        <f t="shared" si="1"/>
        <v>5.1015312965539898E-2</v>
      </c>
      <c r="X6" s="41">
        <f t="shared" si="1"/>
        <v>5.1015312965539898E-2</v>
      </c>
      <c r="Y6" s="41">
        <f t="shared" si="1"/>
        <v>5.1015312965539905E-2</v>
      </c>
      <c r="Z6" s="41">
        <f t="shared" si="1"/>
        <v>5.1446971799438732E-2</v>
      </c>
      <c r="AA6" s="41">
        <f t="shared" si="1"/>
        <v>4.2105469099502892E-2</v>
      </c>
      <c r="AB6" s="41">
        <f t="shared" si="1"/>
        <v>4.2105469099502885E-2</v>
      </c>
      <c r="AC6" s="41"/>
    </row>
    <row r="7" spans="3:29" x14ac:dyDescent="0.25">
      <c r="C7" s="33" t="s">
        <v>132</v>
      </c>
      <c r="D7" s="49">
        <v>1.4075299877593685E-2</v>
      </c>
      <c r="E7" s="49">
        <v>1615.6264340536309</v>
      </c>
      <c r="F7" s="49">
        <v>74.466442009088539</v>
      </c>
      <c r="G7" s="49">
        <v>52.01738821347557</v>
      </c>
      <c r="H7" s="49">
        <v>2.2502564995501264</v>
      </c>
      <c r="I7" s="49">
        <v>3.3753847493251894</v>
      </c>
      <c r="J7" s="49">
        <v>0.34079543190611572</v>
      </c>
      <c r="K7" s="49">
        <v>0.83080022656110253</v>
      </c>
      <c r="L7" s="49">
        <v>4.5136028857992275E-4</v>
      </c>
      <c r="M7" s="49">
        <v>7.7578901214918256E-2</v>
      </c>
      <c r="N7" s="46">
        <f>SUM(D7:M7)</f>
        <v>1748.9996067449185</v>
      </c>
      <c r="O7" s="48">
        <f>N7/N$10</f>
        <v>0.13375026930775313</v>
      </c>
      <c r="R7" s="41" t="s">
        <v>132</v>
      </c>
      <c r="S7" s="41">
        <f t="shared" si="1"/>
        <v>0.13708299432517485</v>
      </c>
      <c r="T7" s="41">
        <f t="shared" si="1"/>
        <v>0.13708299432517485</v>
      </c>
      <c r="U7" s="41">
        <f t="shared" si="1"/>
        <v>9.6670834918883591E-2</v>
      </c>
      <c r="V7" s="41">
        <f t="shared" si="1"/>
        <v>0.11686187023895785</v>
      </c>
      <c r="W7" s="41">
        <f t="shared" si="1"/>
        <v>9.0834122355404792E-2</v>
      </c>
      <c r="X7" s="41">
        <f t="shared" si="1"/>
        <v>9.0834122355404806E-2</v>
      </c>
      <c r="Y7" s="41">
        <f t="shared" si="1"/>
        <v>9.0834122355404806E-2</v>
      </c>
      <c r="Z7" s="41">
        <f t="shared" si="1"/>
        <v>9.5558374649401673E-2</v>
      </c>
      <c r="AA7" s="41">
        <f t="shared" si="1"/>
        <v>8.2774635808592123E-2</v>
      </c>
      <c r="AB7" s="41">
        <f t="shared" si="1"/>
        <v>8.2774635808592109E-2</v>
      </c>
      <c r="AC7" s="41"/>
    </row>
    <row r="8" spans="3:29" x14ac:dyDescent="0.25">
      <c r="C8" s="33" t="s">
        <v>130</v>
      </c>
      <c r="D8" s="49">
        <v>2.8465107778561496E-2</v>
      </c>
      <c r="E8" s="49">
        <v>3267.3535182322425</v>
      </c>
      <c r="F8" s="49">
        <v>163.07889768279941</v>
      </c>
      <c r="G8" s="49">
        <v>146.91144616507484</v>
      </c>
      <c r="H8" s="49">
        <v>5.6729007024829494</v>
      </c>
      <c r="I8" s="49">
        <v>8.5093510537244228</v>
      </c>
      <c r="J8" s="49">
        <v>0.85914589978950884</v>
      </c>
      <c r="K8" s="49">
        <v>2.1117680117216984</v>
      </c>
      <c r="L8" s="49">
        <v>1.2713935041133194E-3</v>
      </c>
      <c r="M8" s="49">
        <v>0.21852456575481582</v>
      </c>
      <c r="N8" s="46">
        <f>SUM(D8:M8)</f>
        <v>3594.7452888148728</v>
      </c>
      <c r="O8" s="48">
        <f>N8/N$10</f>
        <v>0.27489894715676039</v>
      </c>
      <c r="R8" s="41" t="s">
        <v>130</v>
      </c>
      <c r="S8" s="41">
        <f t="shared" si="1"/>
        <v>0.27722906382163254</v>
      </c>
      <c r="T8" s="41">
        <f t="shared" si="1"/>
        <v>0.27722906382163248</v>
      </c>
      <c r="U8" s="41">
        <f t="shared" si="1"/>
        <v>0.21170573981127383</v>
      </c>
      <c r="V8" s="41">
        <f t="shared" si="1"/>
        <v>0.33005014184685655</v>
      </c>
      <c r="W8" s="41">
        <f t="shared" si="1"/>
        <v>0.22899298663170883</v>
      </c>
      <c r="X8" s="41">
        <f t="shared" si="1"/>
        <v>0.22899298663170883</v>
      </c>
      <c r="Y8" s="41">
        <f t="shared" si="1"/>
        <v>0.22899298663170886</v>
      </c>
      <c r="Z8" s="41">
        <f t="shared" si="1"/>
        <v>0.24289487699349183</v>
      </c>
      <c r="AA8" s="41">
        <f t="shared" si="1"/>
        <v>0.23315993217634387</v>
      </c>
      <c r="AB8" s="41">
        <f t="shared" si="1"/>
        <v>0.23315993217634384</v>
      </c>
      <c r="AC8" s="41"/>
    </row>
    <row r="9" spans="3:29" x14ac:dyDescent="0.25">
      <c r="C9" s="33" t="s">
        <v>128</v>
      </c>
      <c r="D9" s="49">
        <v>5.4600892161379734E-2</v>
      </c>
      <c r="E9" s="49">
        <v>6267.336786142987</v>
      </c>
      <c r="F9" s="49">
        <v>477.02626334210146</v>
      </c>
      <c r="G9" s="49">
        <v>230.63125493965632</v>
      </c>
      <c r="H9" s="49">
        <v>15.586278509994507</v>
      </c>
      <c r="I9" s="49">
        <v>23.379417764991757</v>
      </c>
      <c r="J9" s="49">
        <v>2.3605009107559578</v>
      </c>
      <c r="K9" s="49">
        <v>5.3043078060784286</v>
      </c>
      <c r="L9" s="49">
        <v>3.5005316699713851E-3</v>
      </c>
      <c r="M9" s="49">
        <v>0.60166436324917461</v>
      </c>
      <c r="N9" s="46">
        <f>SUM(D9:M9)</f>
        <v>7022.2845752036455</v>
      </c>
      <c r="O9" s="48">
        <f>N9/N$10</f>
        <v>0.53701124315126847</v>
      </c>
      <c r="R9" s="41" t="s">
        <v>128</v>
      </c>
      <c r="S9" s="41">
        <f t="shared" si="1"/>
        <v>0.53177224324882466</v>
      </c>
      <c r="T9" s="41">
        <f t="shared" si="1"/>
        <v>0.53177224324882466</v>
      </c>
      <c r="U9" s="41">
        <f t="shared" si="1"/>
        <v>0.61926588556343221</v>
      </c>
      <c r="V9" s="41">
        <f t="shared" si="1"/>
        <v>0.51813442991787817</v>
      </c>
      <c r="W9" s="41">
        <f t="shared" si="1"/>
        <v>0.62915757804734651</v>
      </c>
      <c r="X9" s="41">
        <f t="shared" si="1"/>
        <v>0.62915757804734651</v>
      </c>
      <c r="Y9" s="41">
        <f t="shared" si="1"/>
        <v>0.62915757804734651</v>
      </c>
      <c r="Z9" s="41">
        <f t="shared" si="1"/>
        <v>0.61009977655766767</v>
      </c>
      <c r="AA9" s="41">
        <f t="shared" si="1"/>
        <v>0.64195996291556112</v>
      </c>
      <c r="AB9" s="41">
        <f t="shared" si="1"/>
        <v>0.64195996291556112</v>
      </c>
      <c r="AC9" s="41"/>
    </row>
    <row r="10" spans="3:29" x14ac:dyDescent="0.25">
      <c r="D10" s="47">
        <f t="shared" ref="D10:M10" si="2">SUM(D6:D9)</f>
        <v>0.10267721351494291</v>
      </c>
      <c r="E10" s="47">
        <f t="shared" si="2"/>
        <v>11785.753893157602</v>
      </c>
      <c r="F10" s="47">
        <f t="shared" si="2"/>
        <v>770.30928792094596</v>
      </c>
      <c r="G10" s="47">
        <f t="shared" si="2"/>
        <v>445.11856696380949</v>
      </c>
      <c r="H10" s="47">
        <f t="shared" si="2"/>
        <v>24.773250857707353</v>
      </c>
      <c r="I10" s="47">
        <f t="shared" si="2"/>
        <v>37.159876286561023</v>
      </c>
      <c r="J10" s="47">
        <f t="shared" si="2"/>
        <v>3.7518437242415623</v>
      </c>
      <c r="K10" s="47">
        <f t="shared" si="2"/>
        <v>8.6941644791391859</v>
      </c>
      <c r="L10" s="47">
        <f t="shared" si="2"/>
        <v>5.4528816003932322E-3</v>
      </c>
      <c r="M10" s="47">
        <f t="shared" si="2"/>
        <v>0.93723035392522336</v>
      </c>
      <c r="N10" s="47">
        <f>SUM(D10:M10)</f>
        <v>13076.606243839045</v>
      </c>
      <c r="O10" s="46"/>
      <c r="S10" s="40">
        <f t="shared" ref="S10:AB10" si="3">SUM(S6:S9)</f>
        <v>1</v>
      </c>
      <c r="T10" s="40">
        <f t="shared" si="3"/>
        <v>1</v>
      </c>
      <c r="U10" s="40">
        <f t="shared" si="3"/>
        <v>0.99999999999999989</v>
      </c>
      <c r="V10" s="40">
        <f t="shared" si="3"/>
        <v>1</v>
      </c>
      <c r="W10" s="40">
        <f t="shared" si="3"/>
        <v>1</v>
      </c>
      <c r="X10" s="40">
        <f t="shared" si="3"/>
        <v>1</v>
      </c>
      <c r="Y10" s="40">
        <f t="shared" si="3"/>
        <v>1</v>
      </c>
      <c r="Z10" s="40">
        <f t="shared" si="3"/>
        <v>0.99999999999999989</v>
      </c>
      <c r="AA10" s="40">
        <f t="shared" si="3"/>
        <v>1</v>
      </c>
      <c r="AB10" s="40">
        <f t="shared" si="3"/>
        <v>1</v>
      </c>
      <c r="AC10" s="40"/>
    </row>
    <row r="11" spans="3:29" x14ac:dyDescent="0.25">
      <c r="D11" s="45">
        <f t="shared" ref="D11:M11" si="4">D10/$N10</f>
        <v>7.8519771567885657E-6</v>
      </c>
      <c r="E11" s="45">
        <f t="shared" si="4"/>
        <v>0.90128536971971451</v>
      </c>
      <c r="F11" s="45">
        <f t="shared" si="4"/>
        <v>5.89074316039662E-2</v>
      </c>
      <c r="G11" s="45">
        <f t="shared" si="4"/>
        <v>3.4039303368450367E-2</v>
      </c>
      <c r="H11" s="45">
        <f t="shared" si="4"/>
        <v>1.8944709656130469E-3</v>
      </c>
      <c r="I11" s="45">
        <f t="shared" si="4"/>
        <v>2.8417064484195695E-3</v>
      </c>
      <c r="J11" s="45">
        <f t="shared" si="4"/>
        <v>2.8691264799758106E-4</v>
      </c>
      <c r="K11" s="45">
        <f t="shared" si="4"/>
        <v>6.6486398053282228E-4</v>
      </c>
      <c r="L11" s="45">
        <f t="shared" si="4"/>
        <v>4.1699516669031161E-7</v>
      </c>
      <c r="M11" s="45">
        <f t="shared" si="4"/>
        <v>7.1672292982500187E-5</v>
      </c>
      <c r="N11" s="44"/>
    </row>
    <row r="13" spans="3:29" x14ac:dyDescent="0.25">
      <c r="C13" s="43" t="s">
        <v>382</v>
      </c>
      <c r="R13" s="43" t="s">
        <v>381</v>
      </c>
    </row>
    <row r="14" spans="3:29" x14ac:dyDescent="0.25">
      <c r="D14" s="41" t="s">
        <v>380</v>
      </c>
      <c r="E14" s="41" t="s">
        <v>379</v>
      </c>
      <c r="F14" s="41" t="s">
        <v>378</v>
      </c>
      <c r="G14" s="41" t="s">
        <v>377</v>
      </c>
      <c r="H14" s="42" t="s">
        <v>376</v>
      </c>
      <c r="I14" s="42" t="s">
        <v>375</v>
      </c>
      <c r="J14" s="41" t="s">
        <v>374</v>
      </c>
      <c r="K14" s="41" t="s">
        <v>373</v>
      </c>
      <c r="L14" s="41" t="s">
        <v>372</v>
      </c>
      <c r="M14" s="41" t="s">
        <v>371</v>
      </c>
      <c r="N14" s="41" t="s">
        <v>370</v>
      </c>
      <c r="Q14" s="43"/>
      <c r="S14" s="41" t="s">
        <v>380</v>
      </c>
      <c r="T14" s="41" t="s">
        <v>379</v>
      </c>
      <c r="U14" s="41" t="s">
        <v>378</v>
      </c>
      <c r="V14" s="41" t="s">
        <v>377</v>
      </c>
      <c r="W14" s="42" t="s">
        <v>376</v>
      </c>
      <c r="X14" s="42" t="s">
        <v>375</v>
      </c>
      <c r="Y14" s="41" t="s">
        <v>374</v>
      </c>
      <c r="Z14" s="41" t="s">
        <v>373</v>
      </c>
      <c r="AA14" s="41" t="s">
        <v>372</v>
      </c>
      <c r="AB14" s="41" t="s">
        <v>371</v>
      </c>
      <c r="AC14" s="41" t="s">
        <v>370</v>
      </c>
    </row>
    <row r="15" spans="3:29" x14ac:dyDescent="0.25">
      <c r="C15" s="41" t="s">
        <v>134</v>
      </c>
      <c r="D15" s="41">
        <v>2.0988946467896567E-2</v>
      </c>
      <c r="E15" s="41">
        <v>3.7342682084227585E-2</v>
      </c>
      <c r="F15" s="41">
        <v>2.01836040539209E-2</v>
      </c>
      <c r="G15" s="41">
        <v>4.502978043009815E-2</v>
      </c>
      <c r="H15" s="42">
        <f t="shared" ref="H15:I18" si="5">$M15</f>
        <v>3.4816288385118299E-3</v>
      </c>
      <c r="I15" s="42">
        <f t="shared" si="5"/>
        <v>3.4816288385118299E-3</v>
      </c>
      <c r="J15" s="41">
        <v>4.502978043009815E-2</v>
      </c>
      <c r="K15" s="41">
        <v>4.502978043009815E-2</v>
      </c>
      <c r="L15" s="41">
        <v>1.6625926023373462E-2</v>
      </c>
      <c r="M15" s="41">
        <v>3.4816288385118299E-3</v>
      </c>
      <c r="N15" s="41">
        <v>3.4816288385118299E-3</v>
      </c>
      <c r="O15" s="40">
        <f>SUM(D15:N15)</f>
        <v>0.24415701527376027</v>
      </c>
      <c r="R15" s="41" t="s">
        <v>134</v>
      </c>
      <c r="S15" s="41">
        <f t="shared" ref="S15:AC18" si="6">D15/D$19</f>
        <v>0.11233466409606033</v>
      </c>
      <c r="T15" s="41">
        <f t="shared" si="6"/>
        <v>0.15626248332023143</v>
      </c>
      <c r="U15" s="41">
        <f t="shared" si="6"/>
        <v>7.5896135778918419E-2</v>
      </c>
      <c r="V15" s="41">
        <f t="shared" si="6"/>
        <v>0.1140843831327949</v>
      </c>
      <c r="W15" s="41">
        <f t="shared" si="6"/>
        <v>9.6342431000296311E-2</v>
      </c>
      <c r="X15" s="41">
        <f t="shared" si="6"/>
        <v>9.6342431000296311E-2</v>
      </c>
      <c r="Y15" s="41">
        <f t="shared" si="6"/>
        <v>0.1140843831327949</v>
      </c>
      <c r="Z15" s="41">
        <f t="shared" si="6"/>
        <v>0.1140843831327949</v>
      </c>
      <c r="AA15" s="41">
        <f t="shared" si="6"/>
        <v>0.11396968150544153</v>
      </c>
      <c r="AB15" s="41">
        <f t="shared" si="6"/>
        <v>9.6342431000296311E-2</v>
      </c>
      <c r="AC15" s="41">
        <f t="shared" si="6"/>
        <v>9.6342431000296311E-2</v>
      </c>
    </row>
    <row r="16" spans="3:29" x14ac:dyDescent="0.25">
      <c r="C16" s="41" t="s">
        <v>132</v>
      </c>
      <c r="D16" s="41">
        <v>4.8860588706519568E-2</v>
      </c>
      <c r="E16" s="41">
        <v>4.5679032344061413E-2</v>
      </c>
      <c r="F16" s="41">
        <v>6.178454751168351E-2</v>
      </c>
      <c r="G16" s="41">
        <v>7.3408780345723471E-2</v>
      </c>
      <c r="H16" s="42">
        <f t="shared" si="5"/>
        <v>6.2667295071805965E-3</v>
      </c>
      <c r="I16" s="42">
        <f t="shared" si="5"/>
        <v>6.2667295071805965E-3</v>
      </c>
      <c r="J16" s="41">
        <v>7.3408780345723471E-2</v>
      </c>
      <c r="K16" s="41">
        <v>7.3408780345723471E-2</v>
      </c>
      <c r="L16" s="41">
        <v>2.8274471187730181E-2</v>
      </c>
      <c r="M16" s="41">
        <v>6.2667295071805965E-3</v>
      </c>
      <c r="N16" s="41">
        <v>6.2667295071805965E-3</v>
      </c>
      <c r="O16" s="40">
        <f>SUM(D16:N16)</f>
        <v>0.42989189881588746</v>
      </c>
      <c r="R16" s="41" t="s">
        <v>132</v>
      </c>
      <c r="S16" s="41">
        <f t="shared" si="6"/>
        <v>0.26150611362403914</v>
      </c>
      <c r="T16" s="41">
        <f t="shared" si="6"/>
        <v>0.1911463941890518</v>
      </c>
      <c r="U16" s="41">
        <f t="shared" si="6"/>
        <v>0.23232760583582865</v>
      </c>
      <c r="V16" s="41">
        <f t="shared" si="6"/>
        <v>0.18598348342544752</v>
      </c>
      <c r="W16" s="41">
        <f t="shared" si="6"/>
        <v>0.17341077499838617</v>
      </c>
      <c r="X16" s="41">
        <f t="shared" si="6"/>
        <v>0.17341077499838617</v>
      </c>
      <c r="Y16" s="41">
        <f t="shared" si="6"/>
        <v>0.18598348342544752</v>
      </c>
      <c r="Z16" s="41">
        <f t="shared" si="6"/>
        <v>0.18598348342544752</v>
      </c>
      <c r="AA16" s="41">
        <f t="shared" si="6"/>
        <v>0.19381972898653307</v>
      </c>
      <c r="AB16" s="41">
        <f t="shared" si="6"/>
        <v>0.17341077499838617</v>
      </c>
      <c r="AC16" s="41">
        <f t="shared" si="6"/>
        <v>0.17341077499838617</v>
      </c>
    </row>
    <row r="17" spans="3:29" x14ac:dyDescent="0.25">
      <c r="C17" s="41" t="s">
        <v>130</v>
      </c>
      <c r="D17" s="41">
        <v>4.6410555151122454E-2</v>
      </c>
      <c r="E17" s="41">
        <v>4.6984753264650264E-2</v>
      </c>
      <c r="F17" s="41">
        <v>8.1957717247555767E-2</v>
      </c>
      <c r="G17" s="41">
        <v>8.6920868566911197E-2</v>
      </c>
      <c r="H17" s="42">
        <f t="shared" si="5"/>
        <v>8.2908772076434809E-3</v>
      </c>
      <c r="I17" s="42">
        <f t="shared" si="5"/>
        <v>8.2908772076434809E-3</v>
      </c>
      <c r="J17" s="41">
        <v>8.6920868566911197E-2</v>
      </c>
      <c r="K17" s="41">
        <v>8.6920868566911197E-2</v>
      </c>
      <c r="L17" s="41">
        <v>3.3755689528048284E-2</v>
      </c>
      <c r="M17" s="41">
        <v>8.2908772076434809E-3</v>
      </c>
      <c r="N17" s="41">
        <v>8.2908772076434809E-3</v>
      </c>
      <c r="O17" s="40">
        <f>SUM(D17:N17)</f>
        <v>0.50303482972268432</v>
      </c>
      <c r="R17" s="41" t="s">
        <v>130</v>
      </c>
      <c r="S17" s="41">
        <f t="shared" si="6"/>
        <v>0.24839332128400543</v>
      </c>
      <c r="T17" s="41">
        <f t="shared" si="6"/>
        <v>0.19661025436690902</v>
      </c>
      <c r="U17" s="41">
        <f t="shared" si="6"/>
        <v>0.3081845055884524</v>
      </c>
      <c r="V17" s="41">
        <f t="shared" si="6"/>
        <v>0.22021678935824188</v>
      </c>
      <c r="W17" s="41">
        <f t="shared" si="6"/>
        <v>0.22942229122008903</v>
      </c>
      <c r="X17" s="41">
        <f t="shared" si="6"/>
        <v>0.22942229122008903</v>
      </c>
      <c r="Y17" s="41">
        <f t="shared" si="6"/>
        <v>0.22021678935824188</v>
      </c>
      <c r="Z17" s="41">
        <f t="shared" si="6"/>
        <v>0.22021678935824188</v>
      </c>
      <c r="AA17" s="41">
        <f t="shared" si="6"/>
        <v>0.23139313738673997</v>
      </c>
      <c r="AB17" s="41">
        <f t="shared" si="6"/>
        <v>0.22942229122008903</v>
      </c>
      <c r="AC17" s="41">
        <f t="shared" si="6"/>
        <v>0.22942229122008903</v>
      </c>
    </row>
    <row r="18" spans="3:29" x14ac:dyDescent="0.25">
      <c r="C18" s="41" t="s">
        <v>128</v>
      </c>
      <c r="D18" s="41">
        <v>7.058291701143414E-2</v>
      </c>
      <c r="E18" s="41">
        <v>0.10896760523088964</v>
      </c>
      <c r="F18" s="41">
        <v>0.10201130765541143</v>
      </c>
      <c r="G18" s="41">
        <v>0.18934648213757221</v>
      </c>
      <c r="H18" s="42">
        <f t="shared" si="5"/>
        <v>1.8098827420195682E-2</v>
      </c>
      <c r="I18" s="42">
        <f t="shared" si="5"/>
        <v>1.8098827420195682E-2</v>
      </c>
      <c r="J18" s="41">
        <v>0.18934648213757221</v>
      </c>
      <c r="K18" s="41">
        <v>0.18934648213757221</v>
      </c>
      <c r="L18" s="41">
        <v>6.7224166708600777E-2</v>
      </c>
      <c r="M18" s="41">
        <v>1.8098827420195682E-2</v>
      </c>
      <c r="N18" s="41">
        <v>1.8098827420195682E-2</v>
      </c>
      <c r="O18" s="40">
        <f>SUM(D18:N18)</f>
        <v>0.98922075269983523</v>
      </c>
      <c r="R18" s="41" t="s">
        <v>128</v>
      </c>
      <c r="S18" s="41">
        <f t="shared" si="6"/>
        <v>0.37776590099589508</v>
      </c>
      <c r="T18" s="41">
        <f t="shared" si="6"/>
        <v>0.45598086812380773</v>
      </c>
      <c r="U18" s="41">
        <f t="shared" si="6"/>
        <v>0.38359175279680047</v>
      </c>
      <c r="V18" s="41">
        <f t="shared" si="6"/>
        <v>0.47971534408351568</v>
      </c>
      <c r="W18" s="41">
        <f t="shared" si="6"/>
        <v>0.50082450278122848</v>
      </c>
      <c r="X18" s="41">
        <f t="shared" si="6"/>
        <v>0.50082450278122848</v>
      </c>
      <c r="Y18" s="41">
        <f t="shared" si="6"/>
        <v>0.47971534408351568</v>
      </c>
      <c r="Z18" s="41">
        <f t="shared" si="6"/>
        <v>0.47971534408351568</v>
      </c>
      <c r="AA18" s="41">
        <f t="shared" si="6"/>
        <v>0.46081745212128555</v>
      </c>
      <c r="AB18" s="41">
        <f t="shared" si="6"/>
        <v>0.50082450278122848</v>
      </c>
      <c r="AC18" s="41">
        <f t="shared" si="6"/>
        <v>0.50082450278122848</v>
      </c>
    </row>
    <row r="19" spans="3:29" x14ac:dyDescent="0.25">
      <c r="D19" s="40">
        <f t="shared" ref="D19:N19" si="7">SUM(D15:D18)</f>
        <v>0.18684300733697273</v>
      </c>
      <c r="E19" s="40">
        <f t="shared" si="7"/>
        <v>0.23897407292382891</v>
      </c>
      <c r="F19" s="40">
        <f t="shared" si="7"/>
        <v>0.26593717646857162</v>
      </c>
      <c r="G19" s="40">
        <f t="shared" si="7"/>
        <v>0.39470591148030504</v>
      </c>
      <c r="H19" s="40">
        <f t="shared" si="7"/>
        <v>3.6138062973531587E-2</v>
      </c>
      <c r="I19" s="40">
        <f t="shared" si="7"/>
        <v>3.6138062973531587E-2</v>
      </c>
      <c r="J19" s="40">
        <f t="shared" si="7"/>
        <v>0.39470591148030504</v>
      </c>
      <c r="K19" s="40">
        <f t="shared" si="7"/>
        <v>0.39470591148030504</v>
      </c>
      <c r="L19" s="40">
        <f t="shared" si="7"/>
        <v>0.14588025344775268</v>
      </c>
      <c r="M19" s="40">
        <f t="shared" si="7"/>
        <v>3.6138062973531587E-2</v>
      </c>
      <c r="N19" s="40">
        <f t="shared" si="7"/>
        <v>3.6138062973531587E-2</v>
      </c>
      <c r="S19" s="40">
        <f t="shared" ref="S19:AC19" si="8">SUM(S15:S18)</f>
        <v>1</v>
      </c>
      <c r="T19" s="40">
        <f t="shared" si="8"/>
        <v>1</v>
      </c>
      <c r="U19" s="40">
        <f t="shared" si="8"/>
        <v>1</v>
      </c>
      <c r="V19" s="40">
        <f t="shared" si="8"/>
        <v>1</v>
      </c>
      <c r="W19" s="40">
        <f t="shared" si="8"/>
        <v>1</v>
      </c>
      <c r="X19" s="40">
        <f t="shared" si="8"/>
        <v>1</v>
      </c>
      <c r="Y19" s="40">
        <f t="shared" si="8"/>
        <v>1</v>
      </c>
      <c r="Z19" s="40">
        <f t="shared" si="8"/>
        <v>1</v>
      </c>
      <c r="AA19" s="40">
        <f t="shared" si="8"/>
        <v>1</v>
      </c>
      <c r="AB19" s="40">
        <f t="shared" si="8"/>
        <v>1</v>
      </c>
      <c r="AC19" s="40">
        <f t="shared" si="8"/>
        <v>1</v>
      </c>
    </row>
    <row r="23" spans="3:29" x14ac:dyDescent="0.25">
      <c r="Y23" s="2" t="s">
        <v>369</v>
      </c>
    </row>
    <row r="24" spans="3:29" x14ac:dyDescent="0.25">
      <c r="C24" s="2" t="s">
        <v>368</v>
      </c>
    </row>
    <row r="26" spans="3:29" x14ac:dyDescent="0.25">
      <c r="C26" s="2" t="s">
        <v>367</v>
      </c>
      <c r="I26" s="2" t="s">
        <v>366</v>
      </c>
      <c r="M26" s="2" t="s">
        <v>365</v>
      </c>
      <c r="Q26" s="2" t="s">
        <v>364</v>
      </c>
      <c r="S26" s="2" t="s">
        <v>363</v>
      </c>
      <c r="U26" s="2" t="s">
        <v>362</v>
      </c>
    </row>
    <row r="27" spans="3:29" x14ac:dyDescent="0.25">
      <c r="F27" s="2">
        <v>2012</v>
      </c>
      <c r="G27" s="2" t="s">
        <v>65</v>
      </c>
      <c r="J27" s="2">
        <v>2012</v>
      </c>
      <c r="N27" s="2">
        <v>2012</v>
      </c>
      <c r="V27" s="2" t="s">
        <v>321</v>
      </c>
    </row>
    <row r="28" spans="3:29" x14ac:dyDescent="0.25">
      <c r="C28" s="2" t="s">
        <v>134</v>
      </c>
      <c r="D28" s="2" t="s">
        <v>127</v>
      </c>
      <c r="E28" s="2" t="s">
        <v>126</v>
      </c>
      <c r="F28" s="2">
        <v>3.7305999999999999</v>
      </c>
      <c r="G28" s="2">
        <f>F28/$F$32</f>
        <v>5.1587548519758449E-2</v>
      </c>
      <c r="I28" s="2" t="s">
        <v>134</v>
      </c>
      <c r="J28" s="2">
        <v>3.9E-2</v>
      </c>
      <c r="M28" s="2" t="s">
        <v>134</v>
      </c>
      <c r="N28" s="2">
        <v>2.8210000000000002</v>
      </c>
      <c r="Q28" s="2">
        <f>J28*N28</f>
        <v>0.11001900000000001</v>
      </c>
      <c r="S28" s="39">
        <f>F28*J28*N28</f>
        <v>0.41043688140000001</v>
      </c>
      <c r="U28" s="2" t="s">
        <v>134</v>
      </c>
      <c r="V28" s="2">
        <v>0.41</v>
      </c>
    </row>
    <row r="29" spans="3:29" x14ac:dyDescent="0.25">
      <c r="C29" s="2" t="s">
        <v>132</v>
      </c>
      <c r="D29" s="2" t="s">
        <v>127</v>
      </c>
      <c r="E29" s="2" t="s">
        <v>126</v>
      </c>
      <c r="F29" s="2">
        <v>4.2457000000000003</v>
      </c>
      <c r="G29" s="2">
        <f>F29/$F$32</f>
        <v>5.8710463397399472E-2</v>
      </c>
      <c r="I29" s="2" t="s">
        <v>132</v>
      </c>
      <c r="J29" s="2">
        <v>0.05</v>
      </c>
      <c r="M29" s="2" t="s">
        <v>132</v>
      </c>
      <c r="N29" s="2">
        <v>2.2549999999999999</v>
      </c>
      <c r="Q29" s="2">
        <f>J29*N29</f>
        <v>0.11275</v>
      </c>
      <c r="S29" s="39">
        <f>F29*J29*N29</f>
        <v>0.47870267500000002</v>
      </c>
      <c r="U29" s="2" t="s">
        <v>132</v>
      </c>
      <c r="V29" s="2">
        <v>0.48299999999999998</v>
      </c>
    </row>
    <row r="30" spans="3:29" x14ac:dyDescent="0.25">
      <c r="C30" s="2" t="s">
        <v>130</v>
      </c>
      <c r="D30" s="2" t="s">
        <v>127</v>
      </c>
      <c r="E30" s="2" t="s">
        <v>126</v>
      </c>
      <c r="F30" s="2">
        <v>14.047700000000001</v>
      </c>
      <c r="G30" s="2">
        <f>F30/$F$32</f>
        <v>0.19425465215810078</v>
      </c>
      <c r="I30" s="2" t="s">
        <v>130</v>
      </c>
      <c r="J30" s="2">
        <v>8.8999999999999996E-2</v>
      </c>
      <c r="M30" s="2" t="s">
        <v>130</v>
      </c>
      <c r="N30" s="2">
        <v>1.946</v>
      </c>
      <c r="Q30" s="2">
        <f>J30*N30</f>
        <v>0.17319399999999999</v>
      </c>
      <c r="S30" s="39">
        <f>F30*J30*N30</f>
        <v>2.4329773538000001</v>
      </c>
      <c r="U30" s="2" t="s">
        <v>130</v>
      </c>
      <c r="V30" s="2">
        <v>2.444</v>
      </c>
    </row>
    <row r="31" spans="3:29" x14ac:dyDescent="0.25">
      <c r="C31" s="2" t="s">
        <v>128</v>
      </c>
      <c r="D31" s="2" t="s">
        <v>127</v>
      </c>
      <c r="E31" s="2" t="s">
        <v>126</v>
      </c>
      <c r="F31" s="2">
        <v>50.291899999999998</v>
      </c>
      <c r="G31" s="2">
        <f>F31/$F$32</f>
        <v>0.69544733592474128</v>
      </c>
      <c r="I31" s="2" t="s">
        <v>128</v>
      </c>
      <c r="J31" s="2">
        <v>0.17699999999999999</v>
      </c>
      <c r="M31" s="2" t="s">
        <v>128</v>
      </c>
      <c r="N31" s="2">
        <v>2.2360000000000002</v>
      </c>
      <c r="Q31" s="2">
        <f>J31*N31</f>
        <v>0.39577200000000001</v>
      </c>
      <c r="S31" s="39">
        <f>F31*J31*N31</f>
        <v>19.9041258468</v>
      </c>
      <c r="U31" s="2" t="s">
        <v>128</v>
      </c>
      <c r="V31" s="2">
        <v>19.861000000000001</v>
      </c>
    </row>
    <row r="32" spans="3:29" x14ac:dyDescent="0.25">
      <c r="F32" s="2">
        <f>SUM(F28:F31)</f>
        <v>72.315899999999999</v>
      </c>
      <c r="V32" s="2">
        <f>SUM(V28:V31)</f>
        <v>23.198</v>
      </c>
    </row>
    <row r="33" spans="5:22" x14ac:dyDescent="0.25">
      <c r="U33" s="2" t="s">
        <v>361</v>
      </c>
      <c r="V33" s="39">
        <f>V32/F32</f>
        <v>0.32078699151915419</v>
      </c>
    </row>
    <row r="35" spans="5:22" x14ac:dyDescent="0.25">
      <c r="F35" s="2">
        <v>4.2256</v>
      </c>
    </row>
    <row r="36" spans="5:22" x14ac:dyDescent="0.25">
      <c r="F36" s="2">
        <v>3.7132999999999998</v>
      </c>
    </row>
    <row r="37" spans="5:22" x14ac:dyDescent="0.25">
      <c r="F37" s="2">
        <v>13.982200000000001</v>
      </c>
    </row>
    <row r="38" spans="5:22" x14ac:dyDescent="0.25">
      <c r="F38" s="2">
        <v>50.058300000000003</v>
      </c>
    </row>
    <row r="39" spans="5:22" x14ac:dyDescent="0.25">
      <c r="F39" s="2" t="s">
        <v>360</v>
      </c>
      <c r="K39" s="2" t="s">
        <v>359</v>
      </c>
      <c r="N39" s="2" t="s">
        <v>358</v>
      </c>
    </row>
    <row r="40" spans="5:22" x14ac:dyDescent="0.25">
      <c r="F40" s="2" t="s">
        <v>134</v>
      </c>
      <c r="G40" s="2" t="s">
        <v>132</v>
      </c>
      <c r="H40" s="2" t="s">
        <v>130</v>
      </c>
      <c r="I40" s="2" t="s">
        <v>128</v>
      </c>
      <c r="L40" s="2" t="s">
        <v>321</v>
      </c>
      <c r="Q40" s="2">
        <v>2012</v>
      </c>
    </row>
    <row r="41" spans="5:22" x14ac:dyDescent="0.25">
      <c r="E41" s="2">
        <v>2012</v>
      </c>
      <c r="F41" s="2">
        <v>4.4299999999999999E-2</v>
      </c>
      <c r="G41" s="2">
        <v>5.04E-2</v>
      </c>
      <c r="H41" s="2">
        <v>0.16669999999999999</v>
      </c>
      <c r="I41" s="2">
        <v>0.59689999999999999</v>
      </c>
      <c r="K41" s="2">
        <v>2012</v>
      </c>
      <c r="L41" s="2">
        <v>0.11017</v>
      </c>
      <c r="N41" s="2" t="s">
        <v>321</v>
      </c>
      <c r="O41" s="2" t="s">
        <v>126</v>
      </c>
      <c r="P41" s="2">
        <v>2050</v>
      </c>
      <c r="Q41" s="2">
        <v>765</v>
      </c>
    </row>
    <row r="42" spans="5:22" x14ac:dyDescent="0.25">
      <c r="E42" s="2" t="s">
        <v>219</v>
      </c>
      <c r="F42" s="39">
        <f>F41*$L$41*$Q$41</f>
        <v>3.7336062150000005</v>
      </c>
      <c r="G42" s="39">
        <f>G41*$L$41*$Q$41</f>
        <v>4.2477145199999997</v>
      </c>
      <c r="H42" s="39">
        <f>H41*$L$41*$Q$41</f>
        <v>14.049484334999999</v>
      </c>
      <c r="I42" s="39">
        <f>I41*$L$41*$Q$41</f>
        <v>50.306761844999997</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6CAB1-EBB0-4723-AB48-70D18BB8E658}">
  <sheetPr codeName="Sheet5">
    <tabColor theme="5"/>
  </sheetPr>
  <dimension ref="D1:AA235"/>
  <sheetViews>
    <sheetView workbookViewId="0"/>
  </sheetViews>
  <sheetFormatPr defaultRowHeight="15" x14ac:dyDescent="0.25"/>
  <cols>
    <col min="1" max="3" width="9.140625" style="2"/>
    <col min="4" max="4" width="13.42578125" style="2" bestFit="1" customWidth="1"/>
    <col min="5" max="5" width="33.28515625" style="2" customWidth="1"/>
    <col min="6" max="6" width="9.140625" style="2"/>
    <col min="7" max="7" width="12.42578125" style="2" customWidth="1"/>
    <col min="8" max="11" width="9.140625" style="2"/>
    <col min="12" max="12" width="9.7109375" style="2" bestFit="1" customWidth="1"/>
    <col min="13" max="14" width="9.140625" style="2"/>
    <col min="15" max="15" width="14.28515625" style="2" bestFit="1" customWidth="1"/>
    <col min="16" max="16" width="13.42578125" style="2" bestFit="1" customWidth="1"/>
    <col min="17" max="18" width="9.140625" style="2"/>
    <col min="19" max="19" width="30.140625" style="2" customWidth="1"/>
    <col min="20" max="16384" width="9.140625" style="2"/>
  </cols>
  <sheetData>
    <row r="1" spans="4:23" x14ac:dyDescent="0.25">
      <c r="M1" s="2">
        <f>35*1.172</f>
        <v>41.019999999999996</v>
      </c>
    </row>
    <row r="2" spans="4:23" x14ac:dyDescent="0.25">
      <c r="D2" s="36"/>
    </row>
    <row r="3" spans="4:23" x14ac:dyDescent="0.25">
      <c r="E3" s="43"/>
      <c r="W3" s="7"/>
    </row>
    <row r="4" spans="4:23" x14ac:dyDescent="0.25">
      <c r="E4" s="43"/>
      <c r="H4" s="43" t="s">
        <v>457</v>
      </c>
      <c r="W4" s="7"/>
    </row>
    <row r="5" spans="4:23" x14ac:dyDescent="0.25">
      <c r="E5" s="43" t="s">
        <v>472</v>
      </c>
      <c r="F5" s="2" t="s">
        <v>449</v>
      </c>
      <c r="G5" s="36">
        <f>SAM!AL119</f>
        <v>61052.790993083603</v>
      </c>
      <c r="H5" s="2" t="s">
        <v>465</v>
      </c>
      <c r="W5" s="7"/>
    </row>
    <row r="6" spans="4:23" x14ac:dyDescent="0.25">
      <c r="E6" s="43" t="s">
        <v>471</v>
      </c>
      <c r="F6" s="2" t="s">
        <v>449</v>
      </c>
      <c r="G6" s="36">
        <f>G5*1.172</f>
        <v>71553.871043893974</v>
      </c>
      <c r="H6" s="2" t="s">
        <v>463</v>
      </c>
      <c r="W6" s="7"/>
    </row>
    <row r="7" spans="4:23" x14ac:dyDescent="0.25">
      <c r="E7" s="43" t="s">
        <v>433</v>
      </c>
      <c r="F7" s="2" t="s">
        <v>449</v>
      </c>
      <c r="G7" s="36">
        <f>H51*$G$6</f>
        <v>26551.502063613778</v>
      </c>
      <c r="W7" s="7"/>
    </row>
    <row r="8" spans="4:23" x14ac:dyDescent="0.25">
      <c r="E8" s="43" t="s">
        <v>437</v>
      </c>
      <c r="F8" s="2" t="s">
        <v>449</v>
      </c>
      <c r="G8" s="36">
        <f>H52*$G$6</f>
        <v>10262.042713754645</v>
      </c>
      <c r="W8" s="7"/>
    </row>
    <row r="9" spans="4:23" x14ac:dyDescent="0.25">
      <c r="E9" s="43" t="s">
        <v>467</v>
      </c>
      <c r="F9" s="2" t="s">
        <v>449</v>
      </c>
      <c r="G9" s="36">
        <f>H53*$G$6</f>
        <v>34740.326266525561</v>
      </c>
      <c r="W9" s="7"/>
    </row>
    <row r="10" spans="4:23" x14ac:dyDescent="0.25">
      <c r="E10" s="43" t="s">
        <v>470</v>
      </c>
      <c r="F10" s="2" t="s">
        <v>449</v>
      </c>
      <c r="G10" s="36">
        <f>SUM(SAM!AL59:AL117)-SAM!AL79-SAM!AL62-SAM!AL65-SAM!AL67-SAM!AL103</f>
        <v>41635.018826606982</v>
      </c>
      <c r="W10" s="7"/>
    </row>
    <row r="11" spans="4:23" x14ac:dyDescent="0.25">
      <c r="E11" s="43" t="s">
        <v>469</v>
      </c>
      <c r="F11" s="2" t="s">
        <v>449</v>
      </c>
      <c r="G11" s="36">
        <f>G10*1.172</f>
        <v>48796.242064783379</v>
      </c>
      <c r="H11" s="2" t="s">
        <v>463</v>
      </c>
      <c r="W11" s="7"/>
    </row>
    <row r="12" spans="4:23" x14ac:dyDescent="0.25">
      <c r="E12" s="43" t="s">
        <v>433</v>
      </c>
      <c r="F12" s="2" t="s">
        <v>449</v>
      </c>
      <c r="G12" s="36">
        <f>H51*$G$11</f>
        <v>18106.826408943169</v>
      </c>
      <c r="W12" s="7"/>
    </row>
    <row r="13" spans="4:23" x14ac:dyDescent="0.25">
      <c r="E13" s="43" t="s">
        <v>468</v>
      </c>
      <c r="F13" s="2" t="s">
        <v>449</v>
      </c>
      <c r="G13" s="36">
        <f>H52*$G$11</f>
        <v>6998.2114598990574</v>
      </c>
      <c r="W13" s="7"/>
    </row>
    <row r="14" spans="4:23" x14ac:dyDescent="0.25">
      <c r="E14" s="43" t="s">
        <v>467</v>
      </c>
      <c r="F14" s="2" t="s">
        <v>449</v>
      </c>
      <c r="G14" s="36">
        <f>H53*$G$11</f>
        <v>23691.204195941154</v>
      </c>
    </row>
    <row r="15" spans="4:23" x14ac:dyDescent="0.25">
      <c r="E15" s="43" t="s">
        <v>466</v>
      </c>
      <c r="F15" s="2" t="s">
        <v>449</v>
      </c>
      <c r="G15" s="36">
        <f>SAM!AL62+SAM!AL79+SAM!AL103+SAM!AL142</f>
        <v>38479.313744107218</v>
      </c>
      <c r="H15" s="2" t="s">
        <v>465</v>
      </c>
      <c r="J15" s="36"/>
    </row>
    <row r="16" spans="4:23" x14ac:dyDescent="0.25">
      <c r="E16" s="43" t="s">
        <v>464</v>
      </c>
      <c r="F16" s="2" t="s">
        <v>449</v>
      </c>
      <c r="G16" s="36">
        <f>G15*1.172</f>
        <v>45097.755708093653</v>
      </c>
      <c r="H16" s="2" t="s">
        <v>463</v>
      </c>
    </row>
    <row r="17" spans="5:9" x14ac:dyDescent="0.25">
      <c r="E17" s="43" t="s">
        <v>60</v>
      </c>
      <c r="F17" s="2" t="s">
        <v>449</v>
      </c>
      <c r="G17" s="36">
        <f>G16+G11+G6</f>
        <v>165447.86881677102</v>
      </c>
      <c r="H17" s="36">
        <f>G5+G10+G15</f>
        <v>141167.1235637978</v>
      </c>
    </row>
    <row r="18" spans="5:9" x14ac:dyDescent="0.25">
      <c r="E18" s="43" t="s">
        <v>462</v>
      </c>
      <c r="F18" s="2" t="s">
        <v>179</v>
      </c>
      <c r="G18" s="50">
        <v>208</v>
      </c>
      <c r="H18" s="2">
        <f>764/3.6</f>
        <v>212.22222222222223</v>
      </c>
    </row>
    <row r="19" spans="5:9" x14ac:dyDescent="0.25">
      <c r="E19" s="43" t="s">
        <v>461</v>
      </c>
      <c r="F19" s="2" t="s">
        <v>459</v>
      </c>
      <c r="G19" s="39">
        <f>G17/G18/1000</f>
        <v>0.79542244623447611</v>
      </c>
      <c r="H19" s="39">
        <f>H17/H18/1000</f>
        <v>0.66518539899171736</v>
      </c>
      <c r="I19" s="2">
        <f>0.183*3.6</f>
        <v>0.65880000000000005</v>
      </c>
    </row>
    <row r="20" spans="5:9" x14ac:dyDescent="0.25">
      <c r="E20" s="43" t="s">
        <v>460</v>
      </c>
      <c r="F20" s="2" t="s">
        <v>459</v>
      </c>
      <c r="G20" s="39">
        <f>G19/1.172</f>
        <v>0.67868809405672026</v>
      </c>
      <c r="H20" s="39"/>
    </row>
    <row r="21" spans="5:9" x14ac:dyDescent="0.25">
      <c r="E21" s="43" t="s">
        <v>146</v>
      </c>
      <c r="G21" s="2" t="s">
        <v>458</v>
      </c>
      <c r="H21" s="2" t="s">
        <v>457</v>
      </c>
    </row>
    <row r="22" spans="5:9" x14ac:dyDescent="0.25">
      <c r="E22" s="43" t="s">
        <v>105</v>
      </c>
      <c r="F22" s="2" t="s">
        <v>449</v>
      </c>
      <c r="G22" s="2">
        <v>9894</v>
      </c>
      <c r="H22" s="2" t="s">
        <v>456</v>
      </c>
    </row>
    <row r="23" spans="5:9" x14ac:dyDescent="0.25">
      <c r="E23" s="43" t="s">
        <v>104</v>
      </c>
      <c r="F23" s="2" t="s">
        <v>449</v>
      </c>
      <c r="G23" s="2">
        <v>397</v>
      </c>
    </row>
    <row r="24" spans="5:9" x14ac:dyDescent="0.25">
      <c r="E24" s="43" t="s">
        <v>98</v>
      </c>
      <c r="F24" s="2" t="s">
        <v>449</v>
      </c>
      <c r="G24" s="2">
        <v>8298</v>
      </c>
    </row>
    <row r="25" spans="5:9" x14ac:dyDescent="0.25">
      <c r="E25" s="43" t="s">
        <v>455</v>
      </c>
      <c r="F25" s="2" t="s">
        <v>449</v>
      </c>
      <c r="G25" s="2">
        <v>211</v>
      </c>
    </row>
    <row r="26" spans="5:9" x14ac:dyDescent="0.25">
      <c r="E26" s="43" t="s">
        <v>454</v>
      </c>
      <c r="F26" s="2" t="s">
        <v>449</v>
      </c>
      <c r="G26" s="2">
        <v>18801</v>
      </c>
    </row>
    <row r="27" spans="5:9" x14ac:dyDescent="0.25">
      <c r="E27" s="43" t="s">
        <v>453</v>
      </c>
      <c r="F27" s="2" t="s">
        <v>449</v>
      </c>
      <c r="G27" s="2">
        <v>-5542</v>
      </c>
    </row>
    <row r="28" spans="5:9" x14ac:dyDescent="0.25">
      <c r="E28" s="43" t="s">
        <v>452</v>
      </c>
      <c r="F28" s="2" t="s">
        <v>449</v>
      </c>
    </row>
    <row r="29" spans="5:9" x14ac:dyDescent="0.25">
      <c r="E29" s="43" t="s">
        <v>451</v>
      </c>
      <c r="F29" s="2" t="s">
        <v>449</v>
      </c>
      <c r="G29" s="2">
        <v>-2815</v>
      </c>
    </row>
    <row r="30" spans="5:9" x14ac:dyDescent="0.25">
      <c r="E30" s="43" t="s">
        <v>450</v>
      </c>
      <c r="F30" s="2" t="s">
        <v>449</v>
      </c>
      <c r="G30" s="2">
        <v>10443</v>
      </c>
    </row>
    <row r="31" spans="5:9" x14ac:dyDescent="0.25">
      <c r="E31" s="43"/>
    </row>
    <row r="32" spans="5:9" x14ac:dyDescent="0.25">
      <c r="E32" s="43"/>
    </row>
    <row r="33" spans="5:23" x14ac:dyDescent="0.25">
      <c r="E33" s="43" t="s">
        <v>448</v>
      </c>
    </row>
    <row r="34" spans="5:23" x14ac:dyDescent="0.25">
      <c r="E34" s="43" t="s">
        <v>447</v>
      </c>
      <c r="F34" s="2" t="s">
        <v>181</v>
      </c>
      <c r="G34" s="36">
        <v>784</v>
      </c>
      <c r="I34" s="2" t="s">
        <v>446</v>
      </c>
    </row>
    <row r="35" spans="5:23" x14ac:dyDescent="0.25">
      <c r="E35" s="43" t="s">
        <v>146</v>
      </c>
      <c r="F35" s="2" t="s">
        <v>181</v>
      </c>
      <c r="G35" s="36">
        <v>40329</v>
      </c>
      <c r="I35" s="2" t="s">
        <v>445</v>
      </c>
    </row>
    <row r="36" spans="5:23" x14ac:dyDescent="0.25">
      <c r="E36" s="43" t="s">
        <v>444</v>
      </c>
      <c r="F36" s="2" t="s">
        <v>181</v>
      </c>
      <c r="G36" s="36">
        <f>G35+G34</f>
        <v>41113</v>
      </c>
    </row>
    <row r="37" spans="5:23" x14ac:dyDescent="0.25">
      <c r="E37" s="43"/>
      <c r="G37" s="36"/>
    </row>
    <row r="38" spans="5:23" x14ac:dyDescent="0.25">
      <c r="E38" s="43" t="s">
        <v>98</v>
      </c>
      <c r="G38" s="36"/>
    </row>
    <row r="39" spans="5:23" x14ac:dyDescent="0.25">
      <c r="E39" s="43" t="s">
        <v>146</v>
      </c>
      <c r="F39" s="2" t="s">
        <v>440</v>
      </c>
      <c r="G39" s="36">
        <f>212107-92140-626</f>
        <v>119341</v>
      </c>
      <c r="I39" s="2" t="s">
        <v>443</v>
      </c>
    </row>
    <row r="40" spans="5:23" x14ac:dyDescent="0.25">
      <c r="E40" s="43" t="s">
        <v>442</v>
      </c>
      <c r="F40" s="2" t="s">
        <v>440</v>
      </c>
      <c r="G40" s="36">
        <f>96537-2290</f>
        <v>94247</v>
      </c>
      <c r="I40" s="2" t="s">
        <v>441</v>
      </c>
    </row>
    <row r="41" spans="5:23" x14ac:dyDescent="0.25">
      <c r="E41" s="43" t="s">
        <v>60</v>
      </c>
      <c r="F41" s="2" t="s">
        <v>440</v>
      </c>
      <c r="G41" s="36">
        <f>G40+G39</f>
        <v>213588</v>
      </c>
    </row>
    <row r="42" spans="5:23" x14ac:dyDescent="0.25">
      <c r="E42" s="43"/>
      <c r="G42" s="36"/>
      <c r="W42" s="41"/>
    </row>
    <row r="43" spans="5:23" x14ac:dyDescent="0.25">
      <c r="E43" s="43"/>
      <c r="G43" s="36"/>
      <c r="W43" s="41"/>
    </row>
    <row r="44" spans="5:23" x14ac:dyDescent="0.25">
      <c r="E44" s="43" t="s">
        <v>439</v>
      </c>
      <c r="G44" s="36"/>
    </row>
    <row r="45" spans="5:23" x14ac:dyDescent="0.25">
      <c r="E45" s="43" t="s">
        <v>433</v>
      </c>
      <c r="G45" s="36">
        <f>G22*G36/G35</f>
        <v>10086.340400208286</v>
      </c>
      <c r="H45" s="2" t="s">
        <v>438</v>
      </c>
    </row>
    <row r="46" spans="5:23" x14ac:dyDescent="0.25">
      <c r="E46" s="43" t="s">
        <v>437</v>
      </c>
      <c r="G46" s="36">
        <f>G23+G25</f>
        <v>608</v>
      </c>
      <c r="H46" s="2" t="s">
        <v>436</v>
      </c>
      <c r="W46" s="41"/>
    </row>
    <row r="47" spans="5:23" x14ac:dyDescent="0.25">
      <c r="E47" s="43" t="s">
        <v>431</v>
      </c>
      <c r="G47" s="36">
        <f>G24*G41/G39</f>
        <v>14851.167863517148</v>
      </c>
      <c r="H47" s="2" t="s">
        <v>435</v>
      </c>
      <c r="W47" s="41"/>
    </row>
    <row r="48" spans="5:23" x14ac:dyDescent="0.25">
      <c r="E48" s="43" t="s">
        <v>60</v>
      </c>
      <c r="G48" s="36">
        <f>SUM(G45:G47)</f>
        <v>25545.508263725435</v>
      </c>
    </row>
    <row r="49" spans="4:23" x14ac:dyDescent="0.25">
      <c r="E49" s="43" t="s">
        <v>200</v>
      </c>
      <c r="G49" s="36">
        <f>G10-G48</f>
        <v>16089.510562881547</v>
      </c>
      <c r="W49" s="41"/>
    </row>
    <row r="50" spans="4:23" x14ac:dyDescent="0.25">
      <c r="E50" s="43" t="s">
        <v>434</v>
      </c>
      <c r="G50" s="36"/>
      <c r="W50" s="41"/>
    </row>
    <row r="51" spans="4:23" x14ac:dyDescent="0.25">
      <c r="E51" s="43" t="s">
        <v>433</v>
      </c>
      <c r="G51" s="36">
        <f>G$49/3+G45</f>
        <v>15449.51058783547</v>
      </c>
      <c r="H51" s="7">
        <f>G51/$G$10</f>
        <v>0.37107009972005617</v>
      </c>
      <c r="W51" s="41"/>
    </row>
    <row r="52" spans="4:23" x14ac:dyDescent="0.25">
      <c r="E52" s="43" t="s">
        <v>432</v>
      </c>
      <c r="G52" s="36">
        <f>G$49/3+G46</f>
        <v>5971.1701876271827</v>
      </c>
      <c r="H52" s="7">
        <f>G52/$G$10</f>
        <v>0.14341701663435513</v>
      </c>
      <c r="W52" s="41"/>
    </row>
    <row r="53" spans="4:23" x14ac:dyDescent="0.25">
      <c r="E53" s="43" t="s">
        <v>431</v>
      </c>
      <c r="G53" s="36">
        <f>G$49/3+G47</f>
        <v>20214.338051144332</v>
      </c>
      <c r="H53" s="7">
        <f>G53/$G$10</f>
        <v>0.48551288364558876</v>
      </c>
    </row>
    <row r="54" spans="4:23" x14ac:dyDescent="0.25">
      <c r="E54" s="43"/>
    </row>
    <row r="55" spans="4:23" x14ac:dyDescent="0.25">
      <c r="E55" s="43"/>
      <c r="J55" s="43" t="s">
        <v>188</v>
      </c>
      <c r="K55" s="2">
        <v>60</v>
      </c>
      <c r="L55" s="43" t="s">
        <v>430</v>
      </c>
      <c r="M55" s="2">
        <f>M74/L73</f>
        <v>0.74295187856469103</v>
      </c>
    </row>
    <row r="56" spans="4:23" x14ac:dyDescent="0.25">
      <c r="E56" s="43" t="s">
        <v>98</v>
      </c>
      <c r="J56" s="43" t="s">
        <v>429</v>
      </c>
      <c r="K56" s="56">
        <v>8.2000000000000003E-2</v>
      </c>
      <c r="W56" s="41"/>
    </row>
    <row r="57" spans="4:23" s="52" customFormat="1" ht="60" x14ac:dyDescent="0.25">
      <c r="E57" s="53" t="s">
        <v>428</v>
      </c>
      <c r="F57" s="53" t="s">
        <v>422</v>
      </c>
      <c r="G57" s="53" t="s">
        <v>427</v>
      </c>
      <c r="H57" s="53" t="s">
        <v>426</v>
      </c>
      <c r="I57" s="53" t="s">
        <v>219</v>
      </c>
      <c r="J57" s="55">
        <f>PMT(8.2%,60,-1,0,1)</f>
        <v>7.6461363904318166E-2</v>
      </c>
      <c r="K57" s="53" t="s">
        <v>420</v>
      </c>
      <c r="L57" s="53" t="s">
        <v>419</v>
      </c>
      <c r="M57" s="53" t="s">
        <v>418</v>
      </c>
      <c r="N57" s="53" t="s">
        <v>417</v>
      </c>
      <c r="O57" s="53" t="s">
        <v>219</v>
      </c>
      <c r="P57" s="53" t="s">
        <v>414</v>
      </c>
      <c r="Q57" s="53" t="s">
        <v>425</v>
      </c>
      <c r="W57" s="54"/>
    </row>
    <row r="58" spans="4:23" x14ac:dyDescent="0.25">
      <c r="D58" s="2" t="s">
        <v>23</v>
      </c>
      <c r="E58" s="36">
        <v>30869.197499999998</v>
      </c>
      <c r="F58" s="2">
        <v>0.91200000000000003</v>
      </c>
      <c r="G58" s="2">
        <v>0.91200000000000003</v>
      </c>
      <c r="H58" s="36">
        <v>2152.5410000000002</v>
      </c>
      <c r="I58" s="36">
        <f t="shared" ref="I58:I71" si="0">IF(G58=F58,H58/F58,"")</f>
        <v>2360.2423245614036</v>
      </c>
      <c r="J58" s="2">
        <f t="shared" ref="J58:J71" si="1">IF(I58&lt;&gt;"",H58/E58/G58)</f>
        <v>7.6459464958925596E-2</v>
      </c>
      <c r="K58" s="2">
        <f t="shared" ref="K58:K71" si="2">PMT($K$56,$K$55,-1,0,1)</f>
        <v>7.646136390431818E-2</v>
      </c>
      <c r="L58" s="36">
        <f t="shared" ref="L58:L71" si="3">K58*G58*E58</f>
        <v>2152.5944604553733</v>
      </c>
      <c r="M58" s="2">
        <f t="shared" ref="M58:M71" si="4">L58*$M$55</f>
        <v>1599.2740981832671</v>
      </c>
      <c r="N58" s="36">
        <f t="shared" ref="N58:N71" si="5">M58/K58/G58</f>
        <v>22934.328272409461</v>
      </c>
      <c r="O58" s="36">
        <f t="shared" ref="O58:O71" si="6">E58*$M$55</f>
        <v>22934.328272409464</v>
      </c>
      <c r="P58" s="36">
        <f t="shared" ref="P58:P71" si="7">M58/$M$73*$P$74</f>
        <v>1090.6267527443324</v>
      </c>
      <c r="Q58" s="36">
        <f t="shared" ref="Q58:Q71" si="8">P58/G58</f>
        <v>1195.8626674828206</v>
      </c>
      <c r="W58" s="41"/>
    </row>
    <row r="59" spans="4:23" x14ac:dyDescent="0.25">
      <c r="D59" s="2" t="s">
        <v>21</v>
      </c>
      <c r="E59" s="36">
        <v>15434.5988</v>
      </c>
      <c r="F59" s="2">
        <v>6.0609000000000002</v>
      </c>
      <c r="G59" s="2">
        <v>6.0609000000000002</v>
      </c>
      <c r="H59" s="36">
        <v>6933.335</v>
      </c>
      <c r="I59" s="36">
        <f t="shared" si="0"/>
        <v>1143.9447936775066</v>
      </c>
      <c r="J59" s="2">
        <f t="shared" si="1"/>
        <v>7.4115615734534457E-2</v>
      </c>
      <c r="K59" s="2">
        <f t="shared" si="2"/>
        <v>7.646136390431818E-2</v>
      </c>
      <c r="L59" s="36">
        <f t="shared" si="3"/>
        <v>7152.7740173455613</v>
      </c>
      <c r="M59" s="2">
        <f t="shared" si="4"/>
        <v>5314.1668931355971</v>
      </c>
      <c r="N59" s="36">
        <f t="shared" si="5"/>
        <v>11467.164173352327</v>
      </c>
      <c r="O59" s="36">
        <f t="shared" si="6"/>
        <v>11467.164173352327</v>
      </c>
      <c r="P59" s="36">
        <f t="shared" si="7"/>
        <v>3624.0020324131788</v>
      </c>
      <c r="Q59" s="36">
        <f t="shared" si="8"/>
        <v>597.93133567839402</v>
      </c>
      <c r="W59" s="41"/>
    </row>
    <row r="60" spans="4:23" x14ac:dyDescent="0.25">
      <c r="D60" s="2" t="s">
        <v>3</v>
      </c>
      <c r="E60" s="36">
        <v>7336.7520000000004</v>
      </c>
      <c r="F60" s="2">
        <v>1.2666999999999999</v>
      </c>
      <c r="G60" s="2">
        <v>1.2666999999999999</v>
      </c>
      <c r="H60" s="36">
        <v>710.59090000000003</v>
      </c>
      <c r="I60" s="36">
        <f t="shared" si="0"/>
        <v>560.97805320912607</v>
      </c>
      <c r="J60" s="2">
        <f t="shared" si="1"/>
        <v>7.6461362358864804E-2</v>
      </c>
      <c r="K60" s="2">
        <f t="shared" si="2"/>
        <v>7.646136390431818E-2</v>
      </c>
      <c r="L60" s="36">
        <f t="shared" si="3"/>
        <v>710.59091436261485</v>
      </c>
      <c r="M60" s="2">
        <f t="shared" si="4"/>
        <v>527.93485471670624</v>
      </c>
      <c r="N60" s="36">
        <f t="shared" si="5"/>
        <v>5450.8536809632542</v>
      </c>
      <c r="O60" s="36">
        <f t="shared" si="6"/>
        <v>5450.8536809632542</v>
      </c>
      <c r="P60" s="36">
        <f t="shared" si="7"/>
        <v>360.02576225945438</v>
      </c>
      <c r="Q60" s="36">
        <f t="shared" si="8"/>
        <v>284.22338537890141</v>
      </c>
    </row>
    <row r="61" spans="4:23" x14ac:dyDescent="0.25">
      <c r="D61" s="2" t="s">
        <v>19</v>
      </c>
      <c r="E61" s="36">
        <v>7336.7520000000004</v>
      </c>
      <c r="F61" s="2">
        <v>0</v>
      </c>
      <c r="G61" s="2">
        <v>1.7473000000000001</v>
      </c>
      <c r="H61" s="36">
        <v>980.2029</v>
      </c>
      <c r="I61" s="36" t="str">
        <f t="shared" si="0"/>
        <v/>
      </c>
      <c r="J61" s="2" t="b">
        <f t="shared" si="1"/>
        <v>0</v>
      </c>
      <c r="K61" s="2">
        <f t="shared" si="2"/>
        <v>7.646136390431818E-2</v>
      </c>
      <c r="L61" s="36">
        <f t="shared" si="3"/>
        <v>980.19697218425608</v>
      </c>
      <c r="M61" s="2">
        <f t="shared" si="4"/>
        <v>728.23918184771526</v>
      </c>
      <c r="N61" s="36">
        <f t="shared" si="5"/>
        <v>5450.8536809632542</v>
      </c>
      <c r="O61" s="36">
        <f t="shared" si="6"/>
        <v>5450.8536809632542</v>
      </c>
      <c r="P61" s="36">
        <f t="shared" si="7"/>
        <v>496.6235212725544</v>
      </c>
      <c r="Q61" s="36">
        <f t="shared" si="8"/>
        <v>284.22338537890136</v>
      </c>
    </row>
    <row r="62" spans="4:23" x14ac:dyDescent="0.25">
      <c r="D62" s="2" t="s">
        <v>5</v>
      </c>
      <c r="E62" s="36">
        <v>11787.442499999999</v>
      </c>
      <c r="F62" s="2">
        <v>0.54330000000000001</v>
      </c>
      <c r="G62" s="2">
        <v>0.56020000000000003</v>
      </c>
      <c r="H62" s="36">
        <v>489.66750000000002</v>
      </c>
      <c r="I62" s="36" t="str">
        <f t="shared" si="0"/>
        <v/>
      </c>
      <c r="J62" s="2" t="b">
        <f t="shared" si="1"/>
        <v>0</v>
      </c>
      <c r="K62" s="2">
        <f t="shared" si="2"/>
        <v>7.646136390431818E-2</v>
      </c>
      <c r="L62" s="36">
        <f t="shared" si="3"/>
        <v>504.89925786258533</v>
      </c>
      <c r="M62" s="2">
        <f t="shared" si="4"/>
        <v>375.1158521149261</v>
      </c>
      <c r="N62" s="36">
        <f t="shared" si="5"/>
        <v>8757.502548848277</v>
      </c>
      <c r="O62" s="36">
        <f t="shared" si="6"/>
        <v>8757.502548848277</v>
      </c>
      <c r="P62" s="36">
        <f t="shared" si="7"/>
        <v>255.81067320465249</v>
      </c>
      <c r="Q62" s="36">
        <f t="shared" si="8"/>
        <v>456.64168726285698</v>
      </c>
    </row>
    <row r="63" spans="4:23" x14ac:dyDescent="0.25">
      <c r="D63" s="2" t="s">
        <v>18</v>
      </c>
      <c r="E63" s="36">
        <v>7336.7520000000004</v>
      </c>
      <c r="F63" s="2">
        <v>3.5015000000000001</v>
      </c>
      <c r="G63" s="2">
        <v>3.5015000000000001</v>
      </c>
      <c r="H63" s="36">
        <v>1964.2650000000001</v>
      </c>
      <c r="I63" s="36">
        <f t="shared" si="0"/>
        <v>560.978152220477</v>
      </c>
      <c r="J63" s="2">
        <f t="shared" si="1"/>
        <v>7.6461375854121411E-2</v>
      </c>
      <c r="K63" s="2">
        <f t="shared" si="2"/>
        <v>7.646136390431818E-2</v>
      </c>
      <c r="L63" s="36">
        <f t="shared" si="3"/>
        <v>1964.2646930138915</v>
      </c>
      <c r="M63" s="2">
        <f t="shared" si="4"/>
        <v>1459.3541436729668</v>
      </c>
      <c r="N63" s="36">
        <f t="shared" si="5"/>
        <v>5450.8536809632542</v>
      </c>
      <c r="O63" s="36">
        <f t="shared" si="6"/>
        <v>5450.8536809632542</v>
      </c>
      <c r="P63" s="36">
        <f t="shared" si="7"/>
        <v>995.20818390422323</v>
      </c>
      <c r="Q63" s="36">
        <f t="shared" si="8"/>
        <v>284.22338537890141</v>
      </c>
    </row>
    <row r="64" spans="4:23" x14ac:dyDescent="0.25">
      <c r="D64" s="2" t="s">
        <v>4</v>
      </c>
      <c r="E64" s="36">
        <v>7336.7520000000004</v>
      </c>
      <c r="F64" s="2">
        <v>4.1947999999999999</v>
      </c>
      <c r="G64" s="2">
        <v>4.1947999999999999</v>
      </c>
      <c r="H64" s="36">
        <v>2353.1909999999998</v>
      </c>
      <c r="I64" s="36">
        <f t="shared" si="0"/>
        <v>560.97811576237245</v>
      </c>
      <c r="J64" s="2">
        <f t="shared" si="1"/>
        <v>7.6461370884878269E-2</v>
      </c>
      <c r="K64" s="2">
        <f t="shared" si="2"/>
        <v>7.646136390431818E-2</v>
      </c>
      <c r="L64" s="36">
        <f t="shared" si="3"/>
        <v>2353.1907851648357</v>
      </c>
      <c r="M64" s="2">
        <f t="shared" si="4"/>
        <v>1748.3075144593349</v>
      </c>
      <c r="N64" s="36">
        <f t="shared" si="5"/>
        <v>5450.8536809632551</v>
      </c>
      <c r="O64" s="36">
        <f t="shared" si="6"/>
        <v>5450.8536809632542</v>
      </c>
      <c r="P64" s="36">
        <f t="shared" si="7"/>
        <v>1192.2602569874157</v>
      </c>
      <c r="Q64" s="36">
        <f t="shared" si="8"/>
        <v>284.22338537890141</v>
      </c>
    </row>
    <row r="65" spans="4:18" x14ac:dyDescent="0.25">
      <c r="D65" s="2" t="s">
        <v>17</v>
      </c>
      <c r="E65" s="36">
        <v>7336.7520000000004</v>
      </c>
      <c r="F65" s="2">
        <v>2.8782000000000001</v>
      </c>
      <c r="G65" s="2">
        <v>2.8782000000000001</v>
      </c>
      <c r="H65" s="36">
        <v>1614.607</v>
      </c>
      <c r="I65" s="36">
        <f t="shared" si="0"/>
        <v>560.97804183170035</v>
      </c>
      <c r="J65" s="2">
        <f t="shared" si="1"/>
        <v>7.646136080812059E-2</v>
      </c>
      <c r="K65" s="2">
        <f t="shared" si="2"/>
        <v>7.646136390431818E-2</v>
      </c>
      <c r="L65" s="36">
        <f t="shared" si="3"/>
        <v>1614.6070653812887</v>
      </c>
      <c r="M65" s="2">
        <f t="shared" si="4"/>
        <v>1199.5753523688513</v>
      </c>
      <c r="N65" s="36">
        <f t="shared" si="5"/>
        <v>5450.8536809632542</v>
      </c>
      <c r="O65" s="36">
        <f t="shared" si="6"/>
        <v>5450.8536809632542</v>
      </c>
      <c r="P65" s="36">
        <f t="shared" si="7"/>
        <v>818.05174779755396</v>
      </c>
      <c r="Q65" s="36">
        <f t="shared" si="8"/>
        <v>284.22338537890136</v>
      </c>
    </row>
    <row r="66" spans="4:18" x14ac:dyDescent="0.25">
      <c r="D66" s="2" t="s">
        <v>16</v>
      </c>
      <c r="E66" s="36">
        <v>7336.7520000000004</v>
      </c>
      <c r="F66" s="2">
        <v>0.8427</v>
      </c>
      <c r="G66" s="2">
        <v>0.8427</v>
      </c>
      <c r="H66" s="36">
        <v>472.7362</v>
      </c>
      <c r="I66" s="36">
        <f t="shared" si="0"/>
        <v>560.97804675447969</v>
      </c>
      <c r="J66" s="2">
        <f t="shared" si="1"/>
        <v>7.646136147909588E-2</v>
      </c>
      <c r="K66" s="2">
        <f t="shared" si="2"/>
        <v>7.646136390431818E-2</v>
      </c>
      <c r="L66" s="36">
        <f t="shared" si="3"/>
        <v>472.73621499437564</v>
      </c>
      <c r="M66" s="2">
        <f t="shared" si="4"/>
        <v>351.22025899563306</v>
      </c>
      <c r="N66" s="36">
        <f t="shared" si="5"/>
        <v>5450.8536809632551</v>
      </c>
      <c r="O66" s="36">
        <f t="shared" si="6"/>
        <v>5450.8536809632542</v>
      </c>
      <c r="P66" s="36">
        <f t="shared" si="7"/>
        <v>239.51504685880022</v>
      </c>
      <c r="Q66" s="36">
        <f t="shared" si="8"/>
        <v>284.22338537890141</v>
      </c>
    </row>
    <row r="67" spans="4:18" x14ac:dyDescent="0.25">
      <c r="D67" s="2" t="s">
        <v>15</v>
      </c>
      <c r="E67" s="36">
        <v>11787.442499999999</v>
      </c>
      <c r="F67" s="2">
        <v>0.90400000000000003</v>
      </c>
      <c r="G67" s="2">
        <v>1.4596</v>
      </c>
      <c r="H67" s="36">
        <v>1197.7860000000001</v>
      </c>
      <c r="I67" s="36" t="str">
        <f t="shared" si="0"/>
        <v/>
      </c>
      <c r="J67" s="2" t="b">
        <f t="shared" si="1"/>
        <v>0</v>
      </c>
      <c r="K67" s="2">
        <f t="shared" si="2"/>
        <v>7.646136390431818E-2</v>
      </c>
      <c r="L67" s="36">
        <f t="shared" si="3"/>
        <v>1315.5140249486424</v>
      </c>
      <c r="M67" s="2">
        <f t="shared" si="4"/>
        <v>977.36361611379164</v>
      </c>
      <c r="N67" s="36">
        <f t="shared" si="5"/>
        <v>8757.502548848277</v>
      </c>
      <c r="O67" s="36">
        <f t="shared" si="6"/>
        <v>8757.502548848277</v>
      </c>
      <c r="P67" s="36">
        <f t="shared" si="7"/>
        <v>666.51420672886593</v>
      </c>
      <c r="Q67" s="36">
        <f t="shared" si="8"/>
        <v>456.64168726285692</v>
      </c>
    </row>
    <row r="68" spans="4:18" x14ac:dyDescent="0.25">
      <c r="D68" s="2" t="s">
        <v>14</v>
      </c>
      <c r="E68" s="36">
        <v>11787.442499999999</v>
      </c>
      <c r="F68" s="2">
        <v>1.3541000000000001</v>
      </c>
      <c r="G68" s="2">
        <v>1.3541000000000001</v>
      </c>
      <c r="H68" s="36">
        <v>1220.4290000000001</v>
      </c>
      <c r="I68" s="36">
        <f t="shared" si="0"/>
        <v>901.28424783989362</v>
      </c>
      <c r="J68" s="2">
        <f t="shared" si="1"/>
        <v>7.6461390826711884E-2</v>
      </c>
      <c r="K68" s="2">
        <f t="shared" si="2"/>
        <v>7.646136390431818E-2</v>
      </c>
      <c r="L68" s="36">
        <f t="shared" si="3"/>
        <v>1220.4285702815544</v>
      </c>
      <c r="M68" s="2">
        <f t="shared" si="4"/>
        <v>906.71969894470089</v>
      </c>
      <c r="N68" s="36">
        <f t="shared" si="5"/>
        <v>8757.502548848277</v>
      </c>
      <c r="O68" s="36">
        <f t="shared" si="6"/>
        <v>8757.502548848277</v>
      </c>
      <c r="P68" s="36">
        <f t="shared" si="7"/>
        <v>618.33850872263463</v>
      </c>
      <c r="Q68" s="36">
        <f t="shared" si="8"/>
        <v>456.64168726285692</v>
      </c>
    </row>
    <row r="69" spans="4:18" x14ac:dyDescent="0.25">
      <c r="D69" s="2" t="s">
        <v>13</v>
      </c>
      <c r="E69" s="36">
        <v>30869.197499999998</v>
      </c>
      <c r="F69" s="2">
        <v>10.6821</v>
      </c>
      <c r="G69" s="2">
        <v>10.6821</v>
      </c>
      <c r="H69" s="36">
        <v>23457.83</v>
      </c>
      <c r="I69" s="36">
        <f t="shared" si="0"/>
        <v>2195.9942333436311</v>
      </c>
      <c r="J69" s="2">
        <f t="shared" si="1"/>
        <v>7.113868876389258E-2</v>
      </c>
      <c r="K69" s="2">
        <f t="shared" si="2"/>
        <v>7.646136390431818E-2</v>
      </c>
      <c r="L69" s="36">
        <f t="shared" si="3"/>
        <v>25212.970708366604</v>
      </c>
      <c r="M69" s="2">
        <f t="shared" si="4"/>
        <v>18732.023951977495</v>
      </c>
      <c r="N69" s="36">
        <f t="shared" si="5"/>
        <v>22934.328272409461</v>
      </c>
      <c r="O69" s="36">
        <f t="shared" si="6"/>
        <v>22934.328272409464</v>
      </c>
      <c r="P69" s="36">
        <f t="shared" si="7"/>
        <v>12774.324600318236</v>
      </c>
      <c r="Q69" s="36">
        <f t="shared" si="8"/>
        <v>1195.8626674828204</v>
      </c>
    </row>
    <row r="70" spans="4:18" x14ac:dyDescent="0.25">
      <c r="D70" s="2" t="s">
        <v>6</v>
      </c>
      <c r="E70" s="36">
        <v>15434.5988</v>
      </c>
      <c r="F70" s="2">
        <v>9.9384999999999994</v>
      </c>
      <c r="G70" s="2">
        <v>0.45069999999999999</v>
      </c>
      <c r="H70" s="36">
        <v>11728.91</v>
      </c>
      <c r="I70" s="36" t="str">
        <f t="shared" si="0"/>
        <v/>
      </c>
      <c r="J70" s="2" t="b">
        <f t="shared" si="1"/>
        <v>0</v>
      </c>
      <c r="K70" s="2">
        <f t="shared" si="2"/>
        <v>7.646136390431818E-2</v>
      </c>
      <c r="L70" s="36">
        <f t="shared" si="3"/>
        <v>531.89381933667346</v>
      </c>
      <c r="M70" s="2">
        <f t="shared" si="4"/>
        <v>395.17151227312991</v>
      </c>
      <c r="N70" s="36">
        <f t="shared" si="5"/>
        <v>11467.164173352325</v>
      </c>
      <c r="O70" s="36">
        <f t="shared" si="6"/>
        <v>11467.164173352327</v>
      </c>
      <c r="P70" s="36">
        <f t="shared" si="7"/>
        <v>269.48765299025217</v>
      </c>
      <c r="Q70" s="36">
        <f t="shared" si="8"/>
        <v>597.93133567839402</v>
      </c>
    </row>
    <row r="71" spans="4:18" x14ac:dyDescent="0.25">
      <c r="D71" s="2" t="s">
        <v>10</v>
      </c>
      <c r="E71" s="36">
        <v>7717.2993999999999</v>
      </c>
      <c r="F71" s="2">
        <v>0.77349999999999997</v>
      </c>
      <c r="G71" s="2">
        <v>0.97140000000000004</v>
      </c>
      <c r="H71" s="36">
        <v>572.44619999999998</v>
      </c>
      <c r="I71" s="36" t="str">
        <f t="shared" si="0"/>
        <v/>
      </c>
      <c r="J71" s="2" t="b">
        <f t="shared" si="1"/>
        <v>0</v>
      </c>
      <c r="K71" s="2">
        <f t="shared" si="2"/>
        <v>7.646136390431818E-2</v>
      </c>
      <c r="L71" s="36">
        <f t="shared" si="3"/>
        <v>573.19908598141183</v>
      </c>
      <c r="M71" s="2">
        <f t="shared" si="4"/>
        <v>425.85933772145376</v>
      </c>
      <c r="N71" s="36">
        <f t="shared" si="5"/>
        <v>5733.5820866761624</v>
      </c>
      <c r="O71" s="36">
        <f t="shared" si="6"/>
        <v>5733.5820866761633</v>
      </c>
      <c r="P71" s="36">
        <f t="shared" si="7"/>
        <v>290.41524973899595</v>
      </c>
      <c r="Q71" s="36">
        <f t="shared" si="8"/>
        <v>298.96566783919695</v>
      </c>
    </row>
    <row r="73" spans="4:18" x14ac:dyDescent="0.25">
      <c r="D73" s="2" t="s">
        <v>60</v>
      </c>
      <c r="L73" s="36">
        <f>SUM(L58:L71)</f>
        <v>46759.860589679658</v>
      </c>
      <c r="M73" s="36">
        <f>SUM(M58:M71)</f>
        <v>34740.326266525575</v>
      </c>
      <c r="P73" s="36">
        <f>SUM(P58:P71)</f>
        <v>23691.204195941151</v>
      </c>
    </row>
    <row r="74" spans="4:18" x14ac:dyDescent="0.25">
      <c r="D74" s="2" t="s">
        <v>408</v>
      </c>
      <c r="M74" s="36">
        <f>G9</f>
        <v>34740.326266525561</v>
      </c>
      <c r="P74" s="36">
        <f>G14</f>
        <v>23691.204195941154</v>
      </c>
    </row>
    <row r="76" spans="4:18" x14ac:dyDescent="0.25">
      <c r="E76" s="43" t="s">
        <v>104</v>
      </c>
      <c r="F76" s="43"/>
      <c r="G76" s="43"/>
      <c r="H76" s="43"/>
      <c r="I76" s="43"/>
      <c r="J76" s="43"/>
      <c r="K76" s="43"/>
      <c r="L76" s="43"/>
      <c r="M76" s="43">
        <v>2012</v>
      </c>
      <c r="N76" s="43" t="s">
        <v>417</v>
      </c>
      <c r="O76" s="43"/>
      <c r="P76" s="43"/>
      <c r="Q76" s="43" t="s">
        <v>424</v>
      </c>
    </row>
    <row r="77" spans="4:18" x14ac:dyDescent="0.25">
      <c r="D77" s="2" t="s">
        <v>24</v>
      </c>
      <c r="F77" s="2">
        <v>34.200000000000003</v>
      </c>
      <c r="G77" s="2">
        <f>F77</f>
        <v>34.200000000000003</v>
      </c>
      <c r="K77" s="2">
        <f>PMT($K$56,$K$55,-1,0,1)</f>
        <v>7.646136390431818E-2</v>
      </c>
      <c r="N77" s="46">
        <f>M78/K77/G77</f>
        <v>3924.3313635870418</v>
      </c>
      <c r="Q77" s="50">
        <f>P78/G77</f>
        <v>204.62606607891979</v>
      </c>
    </row>
    <row r="78" spans="4:18" x14ac:dyDescent="0.25">
      <c r="D78" s="2" t="s">
        <v>408</v>
      </c>
      <c r="M78" s="36">
        <f>G8</f>
        <v>10262.042713754645</v>
      </c>
      <c r="P78" s="36">
        <f>G13</f>
        <v>6998.2114598990574</v>
      </c>
    </row>
    <row r="80" spans="4:18" x14ac:dyDescent="0.25">
      <c r="E80" s="53" t="s">
        <v>105</v>
      </c>
      <c r="F80" s="43"/>
      <c r="G80" s="43"/>
      <c r="H80" s="43"/>
      <c r="I80" s="43"/>
      <c r="J80" s="43"/>
      <c r="K80" s="43"/>
      <c r="L80" s="43"/>
      <c r="M80" s="43"/>
      <c r="N80" s="43"/>
      <c r="O80" s="43"/>
      <c r="P80" s="43"/>
      <c r="Q80" s="43"/>
      <c r="R80" s="43"/>
    </row>
    <row r="81" spans="4:27" s="52" customFormat="1" ht="60" x14ac:dyDescent="0.25">
      <c r="E81" s="53" t="s">
        <v>423</v>
      </c>
      <c r="F81" s="53" t="s">
        <v>422</v>
      </c>
      <c r="G81" s="53" t="s">
        <v>421</v>
      </c>
      <c r="H81" s="53" t="s">
        <v>420</v>
      </c>
      <c r="I81" s="53" t="s">
        <v>419</v>
      </c>
      <c r="J81" s="53" t="s">
        <v>418</v>
      </c>
      <c r="K81" s="53" t="s">
        <v>417</v>
      </c>
      <c r="L81" s="53" t="s">
        <v>416</v>
      </c>
      <c r="M81" s="53" t="s">
        <v>415</v>
      </c>
      <c r="N81" s="53" t="s">
        <v>414</v>
      </c>
      <c r="O81" s="53" t="s">
        <v>413</v>
      </c>
      <c r="P81" s="52" t="s">
        <v>412</v>
      </c>
      <c r="Q81" s="52" t="s">
        <v>411</v>
      </c>
      <c r="R81" s="52" t="s">
        <v>410</v>
      </c>
      <c r="S81" s="52" t="s">
        <v>409</v>
      </c>
    </row>
    <row r="82" spans="4:27" x14ac:dyDescent="0.25">
      <c r="D82" s="2" t="s">
        <v>25</v>
      </c>
      <c r="E82" s="41">
        <v>22451</v>
      </c>
      <c r="F82" s="2">
        <f>INDEX([18]ProcDataGenPre2012!$AI$9:$AI$30,MATCH(D82,[18]ProcDataGenPre2012!$B$9:$B$30,0))</f>
        <v>0</v>
      </c>
      <c r="G82" s="2">
        <f>INDEX([18]ProcDataGenPre2012!$M$9:$M$30,MATCH(D82,[18]ProcDataGenPre2012!$B$9:$B$30,0))</f>
        <v>4230.6971717154183</v>
      </c>
      <c r="H82" s="51">
        <f t="shared" ref="H82:H103" si="9">PMT($K$56,G82,-1,0,1)</f>
        <v>7.5785582255083181E-2</v>
      </c>
      <c r="I82" s="50">
        <f t="shared" ref="I82:I103" si="10">E82*F82*H82</f>
        <v>0</v>
      </c>
      <c r="J82" s="36">
        <f t="shared" ref="J82:J103" si="11">I82*$I$107</f>
        <v>0</v>
      </c>
      <c r="K82" s="46" t="e">
        <f t="shared" ref="K82:K103" si="12">J82/H82/F82</f>
        <v>#DIV/0!</v>
      </c>
      <c r="L82" s="2">
        <v>9.89</v>
      </c>
      <c r="M82" s="36">
        <f t="shared" ref="M82:M103" si="13">F82*L82</f>
        <v>0</v>
      </c>
      <c r="N82" s="46">
        <f t="shared" ref="N82:N103" si="14">M82*$M$107</f>
        <v>0</v>
      </c>
      <c r="O82" s="46" t="e">
        <f t="shared" ref="O82:O103" si="15">N82/F82</f>
        <v>#DIV/0!</v>
      </c>
      <c r="P82" s="2">
        <v>0</v>
      </c>
      <c r="Q82" s="2">
        <f t="shared" ref="Q82:Q103" si="16">P82*$M$107</f>
        <v>0</v>
      </c>
      <c r="R82" s="2">
        <v>0</v>
      </c>
      <c r="S82" s="39">
        <f t="shared" ref="S82:S103" si="17">R82*$M$107</f>
        <v>0</v>
      </c>
      <c r="Z82" s="2">
        <v>2011</v>
      </c>
      <c r="AA82" s="2">
        <v>2012</v>
      </c>
    </row>
    <row r="83" spans="4:27" x14ac:dyDescent="0.25">
      <c r="D83" s="2" t="s">
        <v>53</v>
      </c>
      <c r="E83" s="41">
        <v>22781.423999999999</v>
      </c>
      <c r="F83" s="2">
        <f>INDEX([18]ProcDataGenPre2012!$AI$9:$AI$30,MATCH(D83,[18]ProcDataGenPre2012!$B$9:$B$30,0))</f>
        <v>0.12001708037216328</v>
      </c>
      <c r="G83" s="2">
        <f>INDEX([18]ProcDataGenPre2012!$M$9:$M$30,MATCH(D83,[18]ProcDataGenPre2012!$B$9:$B$30,0))</f>
        <v>4292.9627225713666</v>
      </c>
      <c r="H83" s="51">
        <f t="shared" si="9"/>
        <v>7.5785582255083181E-2</v>
      </c>
      <c r="I83" s="50">
        <f t="shared" si="10"/>
        <v>207.2099072148124</v>
      </c>
      <c r="J83" s="36">
        <f t="shared" si="11"/>
        <v>153.8598457209487</v>
      </c>
      <c r="K83" s="46">
        <f t="shared" si="12"/>
        <v>16915.920812173175</v>
      </c>
      <c r="L83" s="2">
        <v>91.438000000000002</v>
      </c>
      <c r="M83" s="36">
        <f t="shared" si="13"/>
        <v>10.974121795069866</v>
      </c>
      <c r="N83" s="46">
        <f t="shared" si="14"/>
        <v>7.9078356585810656</v>
      </c>
      <c r="O83" s="46">
        <f t="shared" si="15"/>
        <v>65.889252046954525</v>
      </c>
      <c r="P83" s="2">
        <v>0</v>
      </c>
      <c r="Q83" s="2">
        <f t="shared" si="16"/>
        <v>0</v>
      </c>
      <c r="R83" s="2">
        <v>0</v>
      </c>
      <c r="S83" s="39">
        <f t="shared" si="17"/>
        <v>0</v>
      </c>
      <c r="Y83" s="2" t="s">
        <v>48</v>
      </c>
      <c r="AA83" s="2">
        <v>30</v>
      </c>
    </row>
    <row r="84" spans="4:27" x14ac:dyDescent="0.25">
      <c r="D84" s="2" t="s">
        <v>51</v>
      </c>
      <c r="E84" s="41">
        <v>22781.423999999999</v>
      </c>
      <c r="F84" s="2">
        <f>INDEX([18]ProcDataGenPre2012!$AI$9:$AI$30,MATCH(D84,[18]ProcDataGenPre2012!$B$9:$B$30,0))</f>
        <v>0.6898696347031964</v>
      </c>
      <c r="G84" s="2">
        <f>INDEX([18]ProcDataGenPre2012!$M$9:$M$30,MATCH(D84,[18]ProcDataGenPre2012!$B$9:$B$30,0))</f>
        <v>4292.9627225713657</v>
      </c>
      <c r="H84" s="51">
        <f t="shared" si="9"/>
        <v>7.5785582255083181E-2</v>
      </c>
      <c r="I84" s="50">
        <f t="shared" si="10"/>
        <v>1191.0623267446281</v>
      </c>
      <c r="J84" s="36">
        <f t="shared" si="11"/>
        <v>884.40108052836649</v>
      </c>
      <c r="K84" s="46">
        <f t="shared" si="12"/>
        <v>16915.920812173172</v>
      </c>
      <c r="L84" s="2">
        <v>91.438000000000002</v>
      </c>
      <c r="M84" s="36">
        <f t="shared" si="13"/>
        <v>63.080299657990871</v>
      </c>
      <c r="N84" s="46">
        <f t="shared" si="14"/>
        <v>45.454994240499353</v>
      </c>
      <c r="O84" s="46">
        <f t="shared" si="15"/>
        <v>65.889252046954525</v>
      </c>
      <c r="P84" s="2">
        <v>0</v>
      </c>
      <c r="Q84" s="2">
        <f t="shared" si="16"/>
        <v>0</v>
      </c>
      <c r="R84" s="2">
        <v>0</v>
      </c>
      <c r="S84" s="39">
        <f t="shared" si="17"/>
        <v>0</v>
      </c>
      <c r="Y84" s="2" t="s">
        <v>47</v>
      </c>
      <c r="Z84" s="2">
        <v>10</v>
      </c>
      <c r="AA84" s="2">
        <v>10</v>
      </c>
    </row>
    <row r="85" spans="4:27" x14ac:dyDescent="0.25">
      <c r="D85" s="2" t="s">
        <v>47</v>
      </c>
      <c r="E85" s="41">
        <v>38904</v>
      </c>
      <c r="F85" s="2">
        <f>INDEX([18]ProcDataGenPre2012!$AI$9:$AI$30,MATCH(D85,[18]ProcDataGenPre2012!$B$9:$B$30,0))</f>
        <v>0.52848608140566777</v>
      </c>
      <c r="G85" s="2">
        <f>INDEX([18]ProcDataGenPre2012!$M$9:$M$30,MATCH(D85,[18]ProcDataGenPre2012!$B$9:$B$30,0))</f>
        <v>7331.1230131582843</v>
      </c>
      <c r="H85" s="51">
        <f t="shared" si="9"/>
        <v>7.5785582255083181E-2</v>
      </c>
      <c r="I85" s="50">
        <f t="shared" si="10"/>
        <v>1558.1684342906658</v>
      </c>
      <c r="J85" s="36">
        <f t="shared" si="11"/>
        <v>1156.9888627896466</v>
      </c>
      <c r="K85" s="46">
        <f t="shared" si="12"/>
        <v>28887.438435665183</v>
      </c>
      <c r="L85" s="2">
        <v>845</v>
      </c>
      <c r="M85" s="36">
        <f t="shared" si="13"/>
        <v>446.57073878778925</v>
      </c>
      <c r="N85" s="46">
        <f t="shared" si="14"/>
        <v>321.7941333448166</v>
      </c>
      <c r="O85" s="46">
        <f t="shared" si="15"/>
        <v>608.89802904346743</v>
      </c>
      <c r="P85" s="2">
        <v>993.75189999999998</v>
      </c>
      <c r="Q85" s="2">
        <f t="shared" si="16"/>
        <v>716.08706895645082</v>
      </c>
      <c r="R85" s="2">
        <v>20.277799999999999</v>
      </c>
      <c r="S85" s="39">
        <f t="shared" si="17"/>
        <v>14.611967400399553</v>
      </c>
      <c r="Y85" s="2" t="s">
        <v>46</v>
      </c>
      <c r="Z85" s="2">
        <v>10</v>
      </c>
      <c r="AA85" s="2">
        <v>10</v>
      </c>
    </row>
    <row r="86" spans="4:27" x14ac:dyDescent="0.25">
      <c r="D86" s="2" t="s">
        <v>46</v>
      </c>
      <c r="E86" s="41">
        <v>38904</v>
      </c>
      <c r="F86" s="2">
        <f>INDEX([18]ProcDataGenPre2012!$AI$9:$AI$30,MATCH(D86,[18]ProcDataGenPre2012!$B$9:$B$30,0))</f>
        <v>0.54057628389345658</v>
      </c>
      <c r="G86" s="2">
        <f>INDEX([18]ProcDataGenPre2012!$M$9:$M$30,MATCH(D86,[18]ProcDataGenPre2012!$B$9:$B$30,0))</f>
        <v>7331.1230131582843</v>
      </c>
      <c r="H86" s="51">
        <f t="shared" si="9"/>
        <v>7.5785582255083181E-2</v>
      </c>
      <c r="I86" s="50">
        <f t="shared" si="10"/>
        <v>1593.8147314089324</v>
      </c>
      <c r="J86" s="36">
        <f t="shared" si="11"/>
        <v>1183.4573548075205</v>
      </c>
      <c r="K86" s="46">
        <f t="shared" si="12"/>
        <v>28887.438435665183</v>
      </c>
      <c r="L86" s="2">
        <v>845</v>
      </c>
      <c r="M86" s="36">
        <f t="shared" si="13"/>
        <v>456.78695988997083</v>
      </c>
      <c r="N86" s="46">
        <f t="shared" si="14"/>
        <v>329.15583381036765</v>
      </c>
      <c r="O86" s="46">
        <f t="shared" si="15"/>
        <v>608.89802904346755</v>
      </c>
      <c r="P86" s="2">
        <v>680.4067</v>
      </c>
      <c r="Q86" s="2">
        <f t="shared" si="16"/>
        <v>490.29384447097021</v>
      </c>
      <c r="R86" s="2">
        <v>20.277799999999999</v>
      </c>
      <c r="S86" s="39">
        <f t="shared" si="17"/>
        <v>14.611967400399553</v>
      </c>
      <c r="Y86" s="2" t="s">
        <v>45</v>
      </c>
      <c r="Z86" s="2">
        <v>9</v>
      </c>
      <c r="AA86" s="2">
        <v>9</v>
      </c>
    </row>
    <row r="87" spans="4:27" x14ac:dyDescent="0.25">
      <c r="D87" s="2" t="s">
        <v>45</v>
      </c>
      <c r="E87" s="41">
        <v>38904</v>
      </c>
      <c r="F87" s="2">
        <f>INDEX([18]ProcDataGenPre2012!$AI$9:$AI$30,MATCH(D87,[18]ProcDataGenPre2012!$B$9:$B$30,0))</f>
        <v>0.54867909068729692</v>
      </c>
      <c r="G87" s="2">
        <f>INDEX([18]ProcDataGenPre2012!$M$9:$M$30,MATCH(D87,[18]ProcDataGenPre2012!$B$9:$B$30,0))</f>
        <v>7331.1230131582852</v>
      </c>
      <c r="H87" s="51">
        <f t="shared" si="9"/>
        <v>7.5785582255083181E-2</v>
      </c>
      <c r="I87" s="50">
        <f t="shared" si="10"/>
        <v>1617.704741419672</v>
      </c>
      <c r="J87" s="36">
        <f t="shared" si="11"/>
        <v>1201.1964354525096</v>
      </c>
      <c r="K87" s="46">
        <f t="shared" si="12"/>
        <v>28887.438435665179</v>
      </c>
      <c r="L87" s="2">
        <v>845</v>
      </c>
      <c r="M87" s="36">
        <f t="shared" si="13"/>
        <v>463.63383163076588</v>
      </c>
      <c r="N87" s="46">
        <f t="shared" si="14"/>
        <v>334.08961689685702</v>
      </c>
      <c r="O87" s="46">
        <f t="shared" si="15"/>
        <v>608.89802904346743</v>
      </c>
      <c r="P87" s="2">
        <v>1557.7729999999999</v>
      </c>
      <c r="Q87" s="2">
        <f t="shared" si="16"/>
        <v>1122.5146856770762</v>
      </c>
      <c r="R87" s="2">
        <v>20.277799999999999</v>
      </c>
      <c r="S87" s="39">
        <f t="shared" si="17"/>
        <v>14.611967400399553</v>
      </c>
      <c r="Y87" s="2" t="s">
        <v>44</v>
      </c>
      <c r="Z87" s="2">
        <v>10</v>
      </c>
      <c r="AA87" s="2">
        <v>10</v>
      </c>
    </row>
    <row r="88" spans="4:27" x14ac:dyDescent="0.25">
      <c r="D88" s="2" t="s">
        <v>44</v>
      </c>
      <c r="E88" s="41">
        <v>38904</v>
      </c>
      <c r="F88" s="2">
        <f>INDEX([18]ProcDataGenPre2012!$AI$9:$AI$30,MATCH(D88,[18]ProcDataGenPre2012!$B$9:$B$30,0))</f>
        <v>0.36712940349141077</v>
      </c>
      <c r="G88" s="2">
        <f>INDEX([18]ProcDataGenPre2012!$M$9:$M$30,MATCH(D88,[18]ProcDataGenPre2012!$B$9:$B$30,0))</f>
        <v>7331.1230131582843</v>
      </c>
      <c r="H88" s="51">
        <f t="shared" si="9"/>
        <v>7.5785582255083181E-2</v>
      </c>
      <c r="I88" s="50">
        <f t="shared" si="10"/>
        <v>1082.4304895575299</v>
      </c>
      <c r="J88" s="36">
        <f t="shared" si="11"/>
        <v>803.73853917283748</v>
      </c>
      <c r="K88" s="46">
        <f t="shared" si="12"/>
        <v>28887.438435665183</v>
      </c>
      <c r="L88" s="2">
        <v>845</v>
      </c>
      <c r="M88" s="36">
        <f t="shared" si="13"/>
        <v>310.22434595024208</v>
      </c>
      <c r="N88" s="46">
        <f t="shared" si="14"/>
        <v>223.54437018982389</v>
      </c>
      <c r="O88" s="46">
        <f t="shared" si="15"/>
        <v>608.89802904346743</v>
      </c>
      <c r="P88" s="2">
        <v>483.44690000000003</v>
      </c>
      <c r="Q88" s="2">
        <f t="shared" si="16"/>
        <v>348.36670361795774</v>
      </c>
      <c r="R88" s="2">
        <v>20.277799999999999</v>
      </c>
      <c r="S88" s="39">
        <f t="shared" si="17"/>
        <v>14.611967400399553</v>
      </c>
      <c r="Y88" s="2" t="s">
        <v>43</v>
      </c>
      <c r="Z88" s="2">
        <v>10</v>
      </c>
      <c r="AA88" s="2">
        <v>10</v>
      </c>
    </row>
    <row r="89" spans="4:27" x14ac:dyDescent="0.25">
      <c r="D89" s="2" t="s">
        <v>43</v>
      </c>
      <c r="E89" s="41">
        <v>38904</v>
      </c>
      <c r="F89" s="2">
        <f>INDEX([18]ProcDataGenPre2012!$AI$9:$AI$30,MATCH(D89,[18]ProcDataGenPre2012!$B$9:$B$30,0))</f>
        <v>0.55528125327079092</v>
      </c>
      <c r="G89" s="2">
        <f>INDEX([18]ProcDataGenPre2012!$M$9:$M$30,MATCH(D89,[18]ProcDataGenPre2012!$B$9:$B$30,0))</f>
        <v>7331.1230131582852</v>
      </c>
      <c r="H89" s="51">
        <f t="shared" si="9"/>
        <v>7.5785582255083181E-2</v>
      </c>
      <c r="I89" s="50">
        <f t="shared" si="10"/>
        <v>1637.1703086268408</v>
      </c>
      <c r="J89" s="36">
        <f t="shared" si="11"/>
        <v>1215.6502287465769</v>
      </c>
      <c r="K89" s="46">
        <f t="shared" si="12"/>
        <v>28887.438435665179</v>
      </c>
      <c r="L89" s="2">
        <v>845</v>
      </c>
      <c r="M89" s="36">
        <f t="shared" si="13"/>
        <v>469.21265901381832</v>
      </c>
      <c r="N89" s="46">
        <f t="shared" si="14"/>
        <v>338.10966068137105</v>
      </c>
      <c r="O89" s="46">
        <f t="shared" si="15"/>
        <v>608.89802904346743</v>
      </c>
      <c r="P89" s="2">
        <v>850.50840000000005</v>
      </c>
      <c r="Q89" s="2">
        <f t="shared" si="16"/>
        <v>612.8673236034474</v>
      </c>
      <c r="R89" s="2">
        <v>20.277799999999999</v>
      </c>
      <c r="S89" s="39">
        <f t="shared" si="17"/>
        <v>14.611967400399553</v>
      </c>
      <c r="Y89" s="2" t="s">
        <v>393</v>
      </c>
      <c r="AA89" s="2">
        <v>30</v>
      </c>
    </row>
    <row r="90" spans="4:27" x14ac:dyDescent="0.25">
      <c r="D90" s="2" t="s">
        <v>42</v>
      </c>
      <c r="E90" s="41">
        <v>38904</v>
      </c>
      <c r="F90" s="2">
        <f>INDEX([18]ProcDataGenPre2012!$AI$9:$AI$30,MATCH(D90,[18]ProcDataGenPre2012!$B$9:$B$30,0))</f>
        <v>0.32478976407914761</v>
      </c>
      <c r="G90" s="2">
        <f>INDEX([18]ProcDataGenPre2012!$M$9:$M$30,MATCH(D90,[18]ProcDataGenPre2012!$B$9:$B$30,0))</f>
        <v>7331.1230131582843</v>
      </c>
      <c r="H90" s="51">
        <f t="shared" si="9"/>
        <v>7.5785582255083181E-2</v>
      </c>
      <c r="I90" s="50">
        <f t="shared" si="10"/>
        <v>957.59789325534484</v>
      </c>
      <c r="J90" s="36">
        <f t="shared" si="11"/>
        <v>711.04642678224479</v>
      </c>
      <c r="K90" s="46">
        <f t="shared" si="12"/>
        <v>28887.438435665183</v>
      </c>
      <c r="L90" s="2">
        <v>845</v>
      </c>
      <c r="M90" s="36">
        <f t="shared" si="13"/>
        <v>274.44735064687973</v>
      </c>
      <c r="N90" s="46">
        <f t="shared" si="14"/>
        <v>197.76384720128576</v>
      </c>
      <c r="O90" s="46">
        <f t="shared" si="15"/>
        <v>608.89802904346743</v>
      </c>
      <c r="P90" s="2">
        <v>30.581</v>
      </c>
      <c r="Q90" s="2">
        <f t="shared" si="16"/>
        <v>22.036343936305652</v>
      </c>
      <c r="R90" s="2">
        <v>20.277799999999999</v>
      </c>
      <c r="S90" s="39">
        <f t="shared" si="17"/>
        <v>14.611967400399553</v>
      </c>
      <c r="Y90" s="2" t="s">
        <v>392</v>
      </c>
      <c r="AA90" s="2">
        <v>10</v>
      </c>
    </row>
    <row r="91" spans="4:27" x14ac:dyDescent="0.25">
      <c r="D91" s="2" t="s">
        <v>41</v>
      </c>
      <c r="E91" s="41">
        <v>38904</v>
      </c>
      <c r="F91" s="2">
        <f>INDEX([18]ProcDataGenPre2012!$AI$9:$AI$30,MATCH(D91,[18]ProcDataGenPre2012!$B$9:$B$30,0))</f>
        <v>0.73846362585367176</v>
      </c>
      <c r="G91" s="2">
        <f>INDEX([18]ProcDataGenPre2012!$M$9:$M$30,MATCH(D91,[18]ProcDataGenPre2012!$B$9:$B$30,0))</f>
        <v>7331.1230131582834</v>
      </c>
      <c r="H91" s="51">
        <f t="shared" si="9"/>
        <v>7.5785582255083181E-2</v>
      </c>
      <c r="I91" s="50">
        <f t="shared" si="10"/>
        <v>2177.2583085187821</v>
      </c>
      <c r="J91" s="36">
        <f t="shared" si="11"/>
        <v>1616.6824837003091</v>
      </c>
      <c r="K91" s="46">
        <f t="shared" si="12"/>
        <v>28887.438435665183</v>
      </c>
      <c r="L91" s="2">
        <v>845</v>
      </c>
      <c r="M91" s="36">
        <f t="shared" si="13"/>
        <v>624.00176384635267</v>
      </c>
      <c r="N91" s="46">
        <f t="shared" si="14"/>
        <v>449.64904630259332</v>
      </c>
      <c r="O91" s="46">
        <f t="shared" si="15"/>
        <v>608.89802904346743</v>
      </c>
      <c r="P91" s="2">
        <v>1718.922</v>
      </c>
      <c r="Q91" s="2">
        <f t="shared" si="16"/>
        <v>1238.6369442360415</v>
      </c>
      <c r="R91" s="2">
        <v>20.277799999999999</v>
      </c>
      <c r="S91" s="39">
        <f t="shared" si="17"/>
        <v>14.611967400399553</v>
      </c>
      <c r="Y91" s="2" t="s">
        <v>42</v>
      </c>
      <c r="Z91" s="2">
        <v>10</v>
      </c>
      <c r="AA91" s="2">
        <v>10</v>
      </c>
    </row>
    <row r="92" spans="4:27" x14ac:dyDescent="0.25">
      <c r="D92" s="2" t="s">
        <v>40</v>
      </c>
      <c r="E92" s="41">
        <v>38904</v>
      </c>
      <c r="F92" s="2">
        <f>INDEX([18]ProcDataGenPre2012!$AI$9:$AI$30,MATCH(D92,[18]ProcDataGenPre2012!$B$9:$B$30,0))</f>
        <v>0.33889487474984836</v>
      </c>
      <c r="G92" s="2">
        <f>INDEX([18]ProcDataGenPre2012!$M$9:$M$30,MATCH(D92,[18]ProcDataGenPre2012!$B$9:$B$30,0))</f>
        <v>7331.1230131582843</v>
      </c>
      <c r="H92" s="51">
        <f t="shared" si="9"/>
        <v>7.5785582255083181E-2</v>
      </c>
      <c r="I92" s="50">
        <f t="shared" si="10"/>
        <v>999.18486968205571</v>
      </c>
      <c r="J92" s="36">
        <f t="shared" si="11"/>
        <v>741.92605924297038</v>
      </c>
      <c r="K92" s="46">
        <f t="shared" si="12"/>
        <v>28887.438435665179</v>
      </c>
      <c r="L92" s="2">
        <v>845</v>
      </c>
      <c r="M92" s="36">
        <f t="shared" si="13"/>
        <v>286.36616916362186</v>
      </c>
      <c r="N92" s="46">
        <f t="shared" si="14"/>
        <v>206.35242128811541</v>
      </c>
      <c r="O92" s="46">
        <f t="shared" si="15"/>
        <v>608.89802904346743</v>
      </c>
      <c r="P92" s="2">
        <v>358.10879999999997</v>
      </c>
      <c r="Q92" s="2">
        <f t="shared" si="16"/>
        <v>258.04939941197779</v>
      </c>
      <c r="R92" s="2">
        <v>20.277799999999999</v>
      </c>
      <c r="S92" s="39">
        <f t="shared" si="17"/>
        <v>14.611967400399553</v>
      </c>
      <c r="Y92" s="2" t="s">
        <v>41</v>
      </c>
      <c r="Z92" s="2">
        <v>16</v>
      </c>
      <c r="AA92" s="2">
        <v>16</v>
      </c>
    </row>
    <row r="93" spans="4:27" x14ac:dyDescent="0.25">
      <c r="D93" s="2" t="s">
        <v>39</v>
      </c>
      <c r="E93" s="41">
        <v>38904</v>
      </c>
      <c r="F93" s="2">
        <f>INDEX([18]ProcDataGenPre2012!$AI$9:$AI$30,MATCH(D93,[18]ProcDataGenPre2012!$B$9:$B$30,0))</f>
        <v>0.51376874915870463</v>
      </c>
      <c r="G93" s="2">
        <f>INDEX([18]ProcDataGenPre2012!$M$9:$M$30,MATCH(D93,[18]ProcDataGenPre2012!$B$9:$B$30,0))</f>
        <v>7331.1230131582852</v>
      </c>
      <c r="H93" s="51">
        <f t="shared" si="9"/>
        <v>7.5785582255083181E-2</v>
      </c>
      <c r="I93" s="50">
        <f t="shared" si="10"/>
        <v>1514.7764068541221</v>
      </c>
      <c r="J93" s="36">
        <f t="shared" si="11"/>
        <v>1124.7689234216678</v>
      </c>
      <c r="K93" s="46">
        <f t="shared" si="12"/>
        <v>28887.438435665179</v>
      </c>
      <c r="L93" s="2">
        <v>845</v>
      </c>
      <c r="M93" s="36">
        <f t="shared" si="13"/>
        <v>434.13459303910543</v>
      </c>
      <c r="N93" s="46">
        <f t="shared" si="14"/>
        <v>312.83277874686286</v>
      </c>
      <c r="O93" s="46">
        <f t="shared" si="15"/>
        <v>608.89802904346743</v>
      </c>
      <c r="P93" s="2">
        <v>1289.192</v>
      </c>
      <c r="Q93" s="2">
        <f t="shared" si="16"/>
        <v>928.97806847172296</v>
      </c>
      <c r="R93" s="2">
        <v>20.277799999999999</v>
      </c>
      <c r="S93" s="39">
        <f t="shared" si="17"/>
        <v>14.611967400399553</v>
      </c>
      <c r="Y93" s="2" t="s">
        <v>40</v>
      </c>
      <c r="Z93" s="2">
        <v>10</v>
      </c>
      <c r="AA93" s="2">
        <v>10</v>
      </c>
    </row>
    <row r="94" spans="4:27" x14ac:dyDescent="0.25">
      <c r="D94" s="2" t="s">
        <v>38</v>
      </c>
      <c r="E94" s="41">
        <v>38904</v>
      </c>
      <c r="F94" s="2">
        <f>INDEX([18]ProcDataGenPre2012!$AI$9:$AI$30,MATCH(D94,[18]ProcDataGenPre2012!$B$9:$B$30,0))</f>
        <v>0.61567444212241962</v>
      </c>
      <c r="G94" s="2">
        <f>INDEX([18]ProcDataGenPre2012!$M$9:$M$30,MATCH(D94,[18]ProcDataGenPre2012!$B$9:$B$30,0))</f>
        <v>7331.1230131582861</v>
      </c>
      <c r="H94" s="51">
        <f t="shared" si="9"/>
        <v>7.5785582255083181E-2</v>
      </c>
      <c r="I94" s="50">
        <f t="shared" si="10"/>
        <v>1815.2313093337434</v>
      </c>
      <c r="J94" s="36">
        <f t="shared" si="11"/>
        <v>1347.8660984698338</v>
      </c>
      <c r="K94" s="46">
        <f t="shared" si="12"/>
        <v>28887.438435665183</v>
      </c>
      <c r="L94" s="2">
        <v>845</v>
      </c>
      <c r="M94" s="36">
        <f t="shared" si="13"/>
        <v>520.24490359344463</v>
      </c>
      <c r="N94" s="46">
        <f t="shared" si="14"/>
        <v>374.8829543407777</v>
      </c>
      <c r="O94" s="46">
        <f t="shared" si="15"/>
        <v>608.89802904346743</v>
      </c>
      <c r="P94" s="2">
        <v>1584.6310000000001</v>
      </c>
      <c r="Q94" s="2">
        <f t="shared" si="16"/>
        <v>1141.8682753386731</v>
      </c>
      <c r="R94" s="2">
        <v>20.277799999999999</v>
      </c>
      <c r="S94" s="39">
        <f t="shared" si="17"/>
        <v>14.611967400399553</v>
      </c>
      <c r="Y94" s="2" t="s">
        <v>39</v>
      </c>
      <c r="Z94" s="2">
        <v>10</v>
      </c>
      <c r="AA94" s="2">
        <v>10</v>
      </c>
    </row>
    <row r="95" spans="4:27" x14ac:dyDescent="0.25">
      <c r="D95" s="2" t="s">
        <v>36</v>
      </c>
      <c r="E95" s="41">
        <v>38904</v>
      </c>
      <c r="F95" s="2">
        <f>INDEX([18]ProcDataGenPre2012!$AI$9:$AI$30,MATCH(D95,[18]ProcDataGenPre2012!$B$9:$B$30,0))</f>
        <v>0.69799220781606408</v>
      </c>
      <c r="G95" s="2">
        <f>INDEX([18]ProcDataGenPre2012!$M$9:$M$30,MATCH(D95,[18]ProcDataGenPre2012!$B$9:$B$30,0))</f>
        <v>7331.1230131582843</v>
      </c>
      <c r="H95" s="51">
        <f t="shared" si="9"/>
        <v>7.5785582255083181E-2</v>
      </c>
      <c r="I95" s="50">
        <f t="shared" si="10"/>
        <v>2057.9339056708363</v>
      </c>
      <c r="J95" s="36">
        <f t="shared" si="11"/>
        <v>1528.0803774607825</v>
      </c>
      <c r="K95" s="46">
        <f t="shared" si="12"/>
        <v>28887.438435665183</v>
      </c>
      <c r="L95" s="2">
        <v>845</v>
      </c>
      <c r="M95" s="36">
        <f t="shared" si="13"/>
        <v>589.80341560457418</v>
      </c>
      <c r="N95" s="46">
        <f t="shared" si="14"/>
        <v>425.00607962689975</v>
      </c>
      <c r="O95" s="46">
        <f t="shared" si="15"/>
        <v>608.89802904346743</v>
      </c>
      <c r="P95" s="2">
        <v>819.1739</v>
      </c>
      <c r="Q95" s="2">
        <f t="shared" si="16"/>
        <v>590.28801556668702</v>
      </c>
      <c r="R95" s="2">
        <v>20.277799999999999</v>
      </c>
      <c r="S95" s="39">
        <f t="shared" si="17"/>
        <v>14.611967400399553</v>
      </c>
      <c r="Y95" s="2" t="s">
        <v>38</v>
      </c>
      <c r="Z95" s="2">
        <v>15</v>
      </c>
      <c r="AA95" s="2">
        <v>15</v>
      </c>
    </row>
    <row r="96" spans="4:27" x14ac:dyDescent="0.25">
      <c r="D96" s="2" t="s">
        <v>34</v>
      </c>
      <c r="E96" s="41">
        <v>38904</v>
      </c>
      <c r="F96" s="2">
        <f>INDEX([18]ProcDataGenPre2012!$AI$9:$AI$30,MATCH(D96,[18]ProcDataGenPre2012!$B$9:$B$30,0))</f>
        <v>0.69799220781606408</v>
      </c>
      <c r="G96" s="2">
        <f>INDEX([18]ProcDataGenPre2012!$M$9:$M$30,MATCH(D96,[18]ProcDataGenPre2012!$B$9:$B$30,0))</f>
        <v>7331.1230131582852</v>
      </c>
      <c r="H96" s="51">
        <f t="shared" si="9"/>
        <v>7.5785582255083181E-2</v>
      </c>
      <c r="I96" s="50">
        <f t="shared" si="10"/>
        <v>2057.9339056708363</v>
      </c>
      <c r="J96" s="36">
        <f t="shared" si="11"/>
        <v>1528.0803774607825</v>
      </c>
      <c r="K96" s="46">
        <f t="shared" si="12"/>
        <v>28887.438435665183</v>
      </c>
      <c r="L96" s="2">
        <v>845</v>
      </c>
      <c r="M96" s="36">
        <f t="shared" si="13"/>
        <v>589.80341560457418</v>
      </c>
      <c r="N96" s="46">
        <f t="shared" si="14"/>
        <v>425.00607962689975</v>
      </c>
      <c r="O96" s="46">
        <f t="shared" si="15"/>
        <v>608.89802904346743</v>
      </c>
      <c r="P96" s="2">
        <v>899.74839999999995</v>
      </c>
      <c r="Q96" s="2">
        <f t="shared" si="16"/>
        <v>648.34914484616957</v>
      </c>
      <c r="R96" s="2">
        <v>20.277799999999999</v>
      </c>
      <c r="S96" s="39">
        <f t="shared" si="17"/>
        <v>14.611967400399553</v>
      </c>
      <c r="Y96" s="2" t="s">
        <v>36</v>
      </c>
      <c r="Z96" s="2">
        <v>22</v>
      </c>
      <c r="AA96" s="2">
        <v>22</v>
      </c>
    </row>
    <row r="97" spans="4:27" x14ac:dyDescent="0.25">
      <c r="D97" s="2" t="s">
        <v>33</v>
      </c>
      <c r="E97" s="41">
        <v>38904</v>
      </c>
      <c r="F97" s="2">
        <f>INDEX([18]ProcDataGenPre2012!$AI$9:$AI$30,MATCH(D97,[18]ProcDataGenPre2012!$B$9:$B$30,0))</f>
        <v>0.8086044021601132</v>
      </c>
      <c r="G97" s="2">
        <f>INDEX([18]ProcDataGenPre2012!$M$9:$M$30,MATCH(D97,[18]ProcDataGenPre2012!$B$9:$B$30,0))</f>
        <v>7331.1230131582861</v>
      </c>
      <c r="H97" s="51">
        <f t="shared" si="9"/>
        <v>7.5785582255083181E-2</v>
      </c>
      <c r="I97" s="50">
        <f t="shared" si="10"/>
        <v>2384.0587285159313</v>
      </c>
      <c r="J97" s="36">
        <f t="shared" si="11"/>
        <v>1770.2382723373992</v>
      </c>
      <c r="K97" s="46">
        <f t="shared" si="12"/>
        <v>28887.438435665183</v>
      </c>
      <c r="L97" s="2">
        <v>845</v>
      </c>
      <c r="M97" s="36">
        <f t="shared" si="13"/>
        <v>683.2707198252956</v>
      </c>
      <c r="N97" s="46">
        <f t="shared" si="14"/>
        <v>492.35762675116416</v>
      </c>
      <c r="O97" s="46">
        <f t="shared" si="15"/>
        <v>608.89802904346732</v>
      </c>
      <c r="P97" s="41">
        <v>1250.6020000000001</v>
      </c>
      <c r="Q97" s="2">
        <f t="shared" si="16"/>
        <v>901.17052416309878</v>
      </c>
      <c r="R97" s="2">
        <v>20.277799999999999</v>
      </c>
      <c r="S97" s="39">
        <f t="shared" si="17"/>
        <v>14.611967400399553</v>
      </c>
      <c r="Y97" s="2" t="s">
        <v>34</v>
      </c>
      <c r="Z97" s="2">
        <v>25</v>
      </c>
      <c r="AA97" s="2">
        <v>25</v>
      </c>
    </row>
    <row r="98" spans="4:27" x14ac:dyDescent="0.25">
      <c r="D98" s="2" t="s">
        <v>32</v>
      </c>
      <c r="E98" s="41">
        <v>38904</v>
      </c>
      <c r="F98" s="2">
        <f>INDEX([18]ProcDataGenPre2012!$AI$9:$AI$30,MATCH(D98,[18]ProcDataGenPre2012!$B$9:$B$30,0))</f>
        <v>0.64632430581316469</v>
      </c>
      <c r="G98" s="2">
        <f>INDEX([18]ProcDataGenPre2012!$M$9:$M$30,MATCH(D98,[18]ProcDataGenPre2012!$B$9:$B$30,0))</f>
        <v>7331.1230131582852</v>
      </c>
      <c r="H98" s="51">
        <f t="shared" si="9"/>
        <v>7.5785582255083181E-2</v>
      </c>
      <c r="I98" s="50">
        <f t="shared" si="10"/>
        <v>1905.5982116960624</v>
      </c>
      <c r="J98" s="36">
        <f t="shared" si="11"/>
        <v>1414.9663536778653</v>
      </c>
      <c r="K98" s="46">
        <f t="shared" si="12"/>
        <v>28887.438435665183</v>
      </c>
      <c r="L98" s="2">
        <v>845</v>
      </c>
      <c r="M98" s="36">
        <f t="shared" si="13"/>
        <v>546.14403841212413</v>
      </c>
      <c r="N98" s="46">
        <f t="shared" si="14"/>
        <v>393.54559593252327</v>
      </c>
      <c r="O98" s="46">
        <f t="shared" si="15"/>
        <v>608.89802904346743</v>
      </c>
      <c r="P98" s="2">
        <v>1557.7729999999999</v>
      </c>
      <c r="Q98" s="2">
        <f t="shared" si="16"/>
        <v>1122.5146856770762</v>
      </c>
      <c r="R98" s="2">
        <v>20.277799999999999</v>
      </c>
      <c r="S98" s="39">
        <f t="shared" si="17"/>
        <v>14.611967400399553</v>
      </c>
      <c r="Y98" s="2" t="s">
        <v>33</v>
      </c>
      <c r="AA98" s="2">
        <v>10</v>
      </c>
    </row>
    <row r="99" spans="4:27" x14ac:dyDescent="0.25">
      <c r="D99" s="2" t="s">
        <v>37</v>
      </c>
      <c r="E99" s="41">
        <v>38904</v>
      </c>
      <c r="F99" s="2">
        <f>INDEX([18]ProcDataGenPre2012!$AI$9:$AI$30,MATCH(D99,[18]ProcDataGenPre2012!$B$9:$B$30,0))</f>
        <v>0.55688169145976019</v>
      </c>
      <c r="G99" s="2">
        <f>INDEX([18]ProcDataGenPre2012!$M$9:$M$30,MATCH(D99,[18]ProcDataGenPre2012!$B$9:$B$30,0))</f>
        <v>7331.1230131582843</v>
      </c>
      <c r="H99" s="51">
        <f t="shared" si="9"/>
        <v>7.5785582255083181E-2</v>
      </c>
      <c r="I99" s="50">
        <f t="shared" si="10"/>
        <v>1641.8889802339572</v>
      </c>
      <c r="J99" s="36">
        <f t="shared" si="11"/>
        <v>1219.1539901990934</v>
      </c>
      <c r="K99" s="46">
        <f t="shared" si="12"/>
        <v>28887.438435665179</v>
      </c>
      <c r="L99" s="2">
        <v>845</v>
      </c>
      <c r="M99" s="36">
        <f t="shared" si="13"/>
        <v>470.56502928349738</v>
      </c>
      <c r="N99" s="46">
        <f t="shared" si="14"/>
        <v>339.08416434024036</v>
      </c>
      <c r="O99" s="46">
        <f t="shared" si="15"/>
        <v>608.89802904346755</v>
      </c>
      <c r="P99" s="2">
        <v>77.696799999999996</v>
      </c>
      <c r="Q99" s="2">
        <f t="shared" si="16"/>
        <v>55.987489210632518</v>
      </c>
      <c r="R99" s="2">
        <v>20.277799999999999</v>
      </c>
      <c r="S99" s="39">
        <f t="shared" si="17"/>
        <v>14.611967400399553</v>
      </c>
      <c r="Y99" s="2" t="s">
        <v>32</v>
      </c>
      <c r="Z99" s="2">
        <v>10</v>
      </c>
      <c r="AA99" s="2">
        <v>10</v>
      </c>
    </row>
    <row r="100" spans="4:27" x14ac:dyDescent="0.25">
      <c r="D100" s="2" t="s">
        <v>35</v>
      </c>
      <c r="E100" s="41">
        <v>38904</v>
      </c>
      <c r="F100" s="2">
        <f>INDEX([18]ProcDataGenPre2012!$AI$9:$AI$30,MATCH(D100,[18]ProcDataGenPre2012!$B$9:$B$30,0))</f>
        <v>0.73182243390231716</v>
      </c>
      <c r="G100" s="2">
        <f>INDEX([18]ProcDataGenPre2012!$M$9:$M$30,MATCH(D100,[18]ProcDataGenPre2012!$B$9:$B$30,0))</f>
        <v>7331.1230131582843</v>
      </c>
      <c r="H100" s="51">
        <f t="shared" si="9"/>
        <v>7.5785582255083181E-2</v>
      </c>
      <c r="I100" s="50">
        <f t="shared" si="10"/>
        <v>2157.6776685951304</v>
      </c>
      <c r="J100" s="36">
        <f t="shared" si="11"/>
        <v>1602.1432453102871</v>
      </c>
      <c r="K100" s="46">
        <f t="shared" si="12"/>
        <v>28887.438435665179</v>
      </c>
      <c r="L100" s="2">
        <v>845</v>
      </c>
      <c r="M100" s="36">
        <f t="shared" si="13"/>
        <v>618.38995664745801</v>
      </c>
      <c r="N100" s="46">
        <f t="shared" si="14"/>
        <v>445.60523761291415</v>
      </c>
      <c r="O100" s="46">
        <f t="shared" si="15"/>
        <v>608.89802904346743</v>
      </c>
      <c r="P100" s="2">
        <v>258.98939999999999</v>
      </c>
      <c r="Q100" s="2">
        <f t="shared" si="16"/>
        <v>186.62501207473397</v>
      </c>
      <c r="R100" s="2">
        <v>20.277799999999999</v>
      </c>
      <c r="S100" s="39">
        <f t="shared" si="17"/>
        <v>14.611967400399553</v>
      </c>
      <c r="Y100" s="2" t="s">
        <v>37</v>
      </c>
      <c r="Z100" s="2">
        <v>10</v>
      </c>
      <c r="AA100" s="2">
        <v>10</v>
      </c>
    </row>
    <row r="101" spans="4:27" x14ac:dyDescent="0.25">
      <c r="D101" s="2" t="s">
        <v>31</v>
      </c>
      <c r="E101" s="41">
        <v>38904</v>
      </c>
      <c r="F101" s="2">
        <f>INDEX([18]ProcDataGenPre2012!$AI$9:$AI$30,MATCH(D101,[18]ProcDataGenPre2012!$B$9:$B$30,0))</f>
        <v>0.53757198695652908</v>
      </c>
      <c r="G101" s="2">
        <f>INDEX([18]ProcDataGenPre2012!$M$9:$M$30,MATCH(D101,[18]ProcDataGenPre2012!$B$9:$B$30,0))</f>
        <v>7331.1230131582834</v>
      </c>
      <c r="H101" s="51">
        <f t="shared" si="9"/>
        <v>7.5785582255083181E-2</v>
      </c>
      <c r="I101" s="50">
        <f t="shared" si="10"/>
        <v>1584.9569756059689</v>
      </c>
      <c r="J101" s="36">
        <f t="shared" si="11"/>
        <v>1176.8801937074725</v>
      </c>
      <c r="K101" s="46">
        <f t="shared" si="12"/>
        <v>28887.438435665183</v>
      </c>
      <c r="L101" s="2">
        <v>845</v>
      </c>
      <c r="M101" s="36">
        <f t="shared" si="13"/>
        <v>454.24832897826707</v>
      </c>
      <c r="N101" s="46">
        <f t="shared" si="14"/>
        <v>327.32652332681113</v>
      </c>
      <c r="O101" s="46">
        <f t="shared" si="15"/>
        <v>608.89802904346743</v>
      </c>
      <c r="P101" s="2">
        <v>1584.6310000000001</v>
      </c>
      <c r="Q101" s="2">
        <f t="shared" si="16"/>
        <v>1141.8682753386731</v>
      </c>
      <c r="R101" s="2">
        <v>20.277799999999999</v>
      </c>
      <c r="S101" s="39">
        <f t="shared" si="17"/>
        <v>14.611967400399553</v>
      </c>
      <c r="Y101" s="2" t="s">
        <v>390</v>
      </c>
      <c r="Z101" s="2">
        <v>10</v>
      </c>
      <c r="AA101" s="2">
        <v>10</v>
      </c>
    </row>
    <row r="102" spans="4:27" x14ac:dyDescent="0.25">
      <c r="D102" s="2" t="s">
        <v>29</v>
      </c>
      <c r="E102" s="41">
        <v>72780.3223</v>
      </c>
      <c r="F102" s="2">
        <f>INDEX([18]ProcDataGenPre2012!$AI$9:$AI$30,MATCH(D102,[18]ProcDataGenPre2012!$B$9:$B$30,0))</f>
        <v>0.92601880492954292</v>
      </c>
      <c r="G102" s="2">
        <f>INDEX([18]ProcDataGenPre2012!$M$9:$M$30,MATCH(D102,[18]ProcDataGenPre2012!$B$9:$B$30,0))</f>
        <v>13714.823558467177</v>
      </c>
      <c r="H102" s="51">
        <f t="shared" si="9"/>
        <v>7.5785582255083181E-2</v>
      </c>
      <c r="I102" s="50">
        <f t="shared" si="10"/>
        <v>5107.641090986971</v>
      </c>
      <c r="J102" s="36">
        <f t="shared" si="11"/>
        <v>3792.583476438409</v>
      </c>
      <c r="K102" s="46">
        <f t="shared" si="12"/>
        <v>54041.66871707586</v>
      </c>
      <c r="L102" s="2">
        <v>885</v>
      </c>
      <c r="M102" s="36">
        <f t="shared" si="13"/>
        <v>819.52664236264548</v>
      </c>
      <c r="N102" s="46">
        <f t="shared" si="14"/>
        <v>590.5421979683141</v>
      </c>
      <c r="O102" s="46">
        <f t="shared" si="15"/>
        <v>637.72160438280309</v>
      </c>
      <c r="P102" s="2">
        <v>0</v>
      </c>
      <c r="Q102" s="2">
        <f t="shared" si="16"/>
        <v>0</v>
      </c>
      <c r="R102" s="2">
        <v>0</v>
      </c>
      <c r="S102" s="39">
        <f t="shared" si="17"/>
        <v>0</v>
      </c>
      <c r="Y102" s="2" t="s">
        <v>389</v>
      </c>
      <c r="AA102" s="2">
        <v>50</v>
      </c>
    </row>
    <row r="103" spans="4:27" x14ac:dyDescent="0.25">
      <c r="D103" s="2" t="s">
        <v>27</v>
      </c>
      <c r="E103" s="2">
        <v>8219.2000000000007</v>
      </c>
      <c r="F103" s="2">
        <f>INDEX([18]ProcDataGenPre2012!$AI$9:$AI$30,MATCH(D103,[18]ProcDataGenPre2012!$B$9:$B$30,0))</f>
        <v>2.9606004647677766E-3</v>
      </c>
      <c r="G103" s="2">
        <f>INDEX([18]ProcDataGenPre2012!$M$9:$M$30,MATCH(D103,[18]ProcDataGenPre2012!$B$9:$B$30,0))</f>
        <v>1548.8372987289372</v>
      </c>
      <c r="H103" s="51">
        <f t="shared" si="9"/>
        <v>7.5785582255083181E-2</v>
      </c>
      <c r="I103" s="50">
        <f t="shared" si="10"/>
        <v>1.84414872632309</v>
      </c>
      <c r="J103" s="36">
        <f t="shared" si="11"/>
        <v>1.3693381862499645</v>
      </c>
      <c r="K103" s="46">
        <f t="shared" si="12"/>
        <v>6103.0134173971637</v>
      </c>
      <c r="L103" s="2">
        <v>147</v>
      </c>
      <c r="M103" s="36">
        <f t="shared" si="13"/>
        <v>0.43520826832086318</v>
      </c>
      <c r="N103" s="46">
        <f t="shared" si="14"/>
        <v>0.31360645775620605</v>
      </c>
      <c r="O103" s="46">
        <f t="shared" si="15"/>
        <v>105.92663937205883</v>
      </c>
      <c r="P103" s="2">
        <v>0</v>
      </c>
      <c r="Q103" s="2">
        <f t="shared" si="16"/>
        <v>0</v>
      </c>
      <c r="R103" s="2">
        <v>0</v>
      </c>
      <c r="S103" s="39">
        <f t="shared" si="17"/>
        <v>0</v>
      </c>
      <c r="Y103" s="2" t="s">
        <v>31</v>
      </c>
      <c r="Z103" s="2">
        <v>16</v>
      </c>
      <c r="AA103" s="2">
        <v>16</v>
      </c>
    </row>
    <row r="104" spans="4:27" x14ac:dyDescent="0.25">
      <c r="M104" s="36"/>
    </row>
    <row r="105" spans="4:27" x14ac:dyDescent="0.25">
      <c r="D105" s="2" t="s">
        <v>60</v>
      </c>
      <c r="I105" s="36">
        <f>SUM(I82:I103)</f>
        <v>35251.143342609153</v>
      </c>
      <c r="J105" s="36">
        <f>SUM(J82:J103)</f>
        <v>26175.077963613774</v>
      </c>
      <c r="M105" s="36">
        <f>SUM(M82:M103)+SUM(P82:P103)</f>
        <v>25127.800692001809</v>
      </c>
      <c r="N105" s="36">
        <f>SUM(N82:N103)+SUM(Q82:Q103)</f>
        <v>18106.826408943169</v>
      </c>
      <c r="P105" s="46">
        <f>SUM(N82:N104)</f>
        <v>6580.3246043454747</v>
      </c>
      <c r="Q105" s="2">
        <f>SUM(Q82:Q104)</f>
        <v>11526.501804597692</v>
      </c>
    </row>
    <row r="106" spans="4:27" x14ac:dyDescent="0.25">
      <c r="D106" s="2" t="s">
        <v>408</v>
      </c>
      <c r="I106" s="36">
        <f>G7-J110</f>
        <v>26175.077963613778</v>
      </c>
      <c r="M106" s="36">
        <f>G12</f>
        <v>18106.826408943169</v>
      </c>
    </row>
    <row r="107" spans="4:27" x14ac:dyDescent="0.25">
      <c r="I107" s="2">
        <f>I106/I105</f>
        <v>0.74253131903313752</v>
      </c>
      <c r="M107" s="2">
        <f>M106/M105</f>
        <v>0.72058938348339341</v>
      </c>
    </row>
    <row r="109" spans="4:27" x14ac:dyDescent="0.25">
      <c r="J109" s="2" t="s">
        <v>407</v>
      </c>
    </row>
    <row r="110" spans="4:27" x14ac:dyDescent="0.25">
      <c r="D110" s="2" t="s">
        <v>406</v>
      </c>
      <c r="E110" s="2" t="s">
        <v>7</v>
      </c>
      <c r="F110" s="2" t="s">
        <v>7</v>
      </c>
      <c r="G110" s="2" t="s">
        <v>7</v>
      </c>
      <c r="H110" s="2" t="s">
        <v>7</v>
      </c>
      <c r="I110" s="2" t="s">
        <v>7</v>
      </c>
      <c r="J110" s="2">
        <v>376.42410000000001</v>
      </c>
    </row>
    <row r="146" spans="5:12" x14ac:dyDescent="0.25">
      <c r="E146" s="2" t="s">
        <v>405</v>
      </c>
      <c r="F146" s="2" t="s">
        <v>7</v>
      </c>
      <c r="G146" s="2" t="s">
        <v>7</v>
      </c>
      <c r="H146" s="2" t="s">
        <v>7</v>
      </c>
      <c r="I146" s="2" t="s">
        <v>7</v>
      </c>
      <c r="J146" s="2" t="s">
        <v>7</v>
      </c>
      <c r="K146" s="2">
        <v>0</v>
      </c>
      <c r="L146" s="2">
        <v>4.4031000000000002</v>
      </c>
    </row>
    <row r="147" spans="5:12" x14ac:dyDescent="0.25">
      <c r="E147" s="2" t="s">
        <v>53</v>
      </c>
      <c r="F147" s="2" t="s">
        <v>7</v>
      </c>
      <c r="G147" s="2" t="s">
        <v>7</v>
      </c>
      <c r="H147" s="2" t="s">
        <v>7</v>
      </c>
      <c r="I147" s="2" t="s">
        <v>7</v>
      </c>
      <c r="J147" s="2" t="s">
        <v>7</v>
      </c>
      <c r="K147" s="2">
        <v>0</v>
      </c>
      <c r="L147" s="2">
        <v>0</v>
      </c>
    </row>
    <row r="148" spans="5:12" x14ac:dyDescent="0.25">
      <c r="E148" s="2" t="s">
        <v>404</v>
      </c>
      <c r="F148" s="2" t="s">
        <v>7</v>
      </c>
      <c r="G148" s="2" t="s">
        <v>7</v>
      </c>
      <c r="H148" s="2" t="s">
        <v>7</v>
      </c>
      <c r="I148" s="2" t="s">
        <v>7</v>
      </c>
      <c r="J148" s="2" t="s">
        <v>7</v>
      </c>
      <c r="K148" s="2">
        <v>0</v>
      </c>
      <c r="L148" s="2">
        <v>4.4031000000000002</v>
      </c>
    </row>
    <row r="149" spans="5:12" x14ac:dyDescent="0.25">
      <c r="E149" s="2" t="s">
        <v>403</v>
      </c>
      <c r="F149" s="2" t="s">
        <v>7</v>
      </c>
      <c r="G149" s="2" t="s">
        <v>7</v>
      </c>
      <c r="H149" s="2" t="s">
        <v>7</v>
      </c>
      <c r="I149" s="2" t="s">
        <v>7</v>
      </c>
      <c r="J149" s="2" t="s">
        <v>7</v>
      </c>
      <c r="K149" s="2">
        <v>0</v>
      </c>
      <c r="L149" s="2">
        <v>0</v>
      </c>
    </row>
    <row r="150" spans="5:12" x14ac:dyDescent="0.25">
      <c r="E150" s="2" t="s">
        <v>52</v>
      </c>
      <c r="F150" s="2" t="s">
        <v>7</v>
      </c>
      <c r="G150" s="2" t="s">
        <v>7</v>
      </c>
      <c r="H150" s="2" t="s">
        <v>7</v>
      </c>
      <c r="I150" s="2" t="s">
        <v>7</v>
      </c>
      <c r="J150" s="2" t="s">
        <v>7</v>
      </c>
      <c r="K150" s="2">
        <v>0</v>
      </c>
      <c r="L150" s="2">
        <v>0</v>
      </c>
    </row>
    <row r="151" spans="5:12" x14ac:dyDescent="0.25">
      <c r="E151" s="2" t="s">
        <v>402</v>
      </c>
      <c r="F151" s="2" t="s">
        <v>7</v>
      </c>
      <c r="G151" s="2" t="s">
        <v>7</v>
      </c>
      <c r="H151" s="2" t="s">
        <v>7</v>
      </c>
      <c r="I151" s="2" t="s">
        <v>7</v>
      </c>
      <c r="J151" s="2" t="s">
        <v>7</v>
      </c>
      <c r="K151" s="2">
        <v>0</v>
      </c>
      <c r="L151" s="2">
        <v>4.4031000000000002</v>
      </c>
    </row>
    <row r="152" spans="5:12" x14ac:dyDescent="0.25">
      <c r="E152" s="2" t="s">
        <v>51</v>
      </c>
      <c r="F152" s="2" t="s">
        <v>7</v>
      </c>
      <c r="G152" s="2" t="s">
        <v>7</v>
      </c>
      <c r="H152" s="2" t="s">
        <v>7</v>
      </c>
      <c r="I152" s="2" t="s">
        <v>7</v>
      </c>
      <c r="J152" s="2" t="s">
        <v>7</v>
      </c>
      <c r="K152" s="2">
        <v>0</v>
      </c>
      <c r="L152" s="2">
        <v>0</v>
      </c>
    </row>
    <row r="153" spans="5:12" x14ac:dyDescent="0.25">
      <c r="E153" s="2" t="s">
        <v>401</v>
      </c>
      <c r="F153" s="2" t="s">
        <v>7</v>
      </c>
      <c r="G153" s="2" t="s">
        <v>7</v>
      </c>
      <c r="H153" s="2" t="s">
        <v>7</v>
      </c>
      <c r="I153" s="2" t="s">
        <v>7</v>
      </c>
      <c r="J153" s="2" t="s">
        <v>7</v>
      </c>
      <c r="K153" s="2">
        <v>0</v>
      </c>
      <c r="L153" s="2">
        <v>4.4031000000000002</v>
      </c>
    </row>
    <row r="154" spans="5:12" x14ac:dyDescent="0.25">
      <c r="E154" s="2" t="s">
        <v>400</v>
      </c>
      <c r="F154" s="2" t="s">
        <v>7</v>
      </c>
      <c r="G154" s="2" t="s">
        <v>7</v>
      </c>
      <c r="H154" s="2" t="s">
        <v>7</v>
      </c>
      <c r="I154" s="2" t="s">
        <v>7</v>
      </c>
      <c r="J154" s="2" t="s">
        <v>7</v>
      </c>
      <c r="K154" s="2">
        <v>0</v>
      </c>
      <c r="L154" s="2">
        <v>4.4031000000000002</v>
      </c>
    </row>
    <row r="155" spans="5:12" x14ac:dyDescent="0.25">
      <c r="E155" s="2" t="s">
        <v>399</v>
      </c>
      <c r="F155" s="2" t="s">
        <v>7</v>
      </c>
      <c r="G155" s="2" t="s">
        <v>7</v>
      </c>
      <c r="H155" s="2" t="s">
        <v>7</v>
      </c>
      <c r="I155" s="2" t="s">
        <v>7</v>
      </c>
      <c r="J155" s="2" t="s">
        <v>7</v>
      </c>
      <c r="K155" s="2">
        <v>0</v>
      </c>
      <c r="L155" s="2">
        <v>0</v>
      </c>
    </row>
    <row r="156" spans="5:12" x14ac:dyDescent="0.25">
      <c r="E156" s="2" t="s">
        <v>47</v>
      </c>
      <c r="F156" s="2" t="s">
        <v>7</v>
      </c>
      <c r="G156" s="2" t="s">
        <v>7</v>
      </c>
      <c r="H156" s="2" t="s">
        <v>7</v>
      </c>
      <c r="I156" s="2" t="s">
        <v>7</v>
      </c>
      <c r="J156" s="2" t="s">
        <v>7</v>
      </c>
      <c r="K156" s="2">
        <v>0</v>
      </c>
      <c r="L156" s="2">
        <v>20.277799999999999</v>
      </c>
    </row>
    <row r="157" spans="5:12" x14ac:dyDescent="0.25">
      <c r="E157" s="2" t="s">
        <v>46</v>
      </c>
      <c r="F157" s="2" t="s">
        <v>7</v>
      </c>
      <c r="G157" s="2" t="s">
        <v>7</v>
      </c>
      <c r="H157" s="2" t="s">
        <v>7</v>
      </c>
      <c r="I157" s="2" t="s">
        <v>7</v>
      </c>
      <c r="J157" s="2" t="s">
        <v>7</v>
      </c>
      <c r="K157" s="2">
        <v>0</v>
      </c>
      <c r="L157" s="2">
        <v>20.277799999999999</v>
      </c>
    </row>
    <row r="158" spans="5:12" x14ac:dyDescent="0.25">
      <c r="E158" s="2" t="s">
        <v>45</v>
      </c>
      <c r="F158" s="2" t="s">
        <v>7</v>
      </c>
      <c r="G158" s="2" t="s">
        <v>7</v>
      </c>
      <c r="H158" s="2" t="s">
        <v>7</v>
      </c>
      <c r="I158" s="2" t="s">
        <v>7</v>
      </c>
      <c r="J158" s="2" t="s">
        <v>7</v>
      </c>
      <c r="K158" s="2">
        <v>0</v>
      </c>
      <c r="L158" s="2">
        <v>20.277799999999999</v>
      </c>
    </row>
    <row r="159" spans="5:12" x14ac:dyDescent="0.25">
      <c r="E159" s="2" t="s">
        <v>44</v>
      </c>
      <c r="F159" s="2" t="s">
        <v>7</v>
      </c>
      <c r="G159" s="2" t="s">
        <v>7</v>
      </c>
      <c r="H159" s="2" t="s">
        <v>7</v>
      </c>
      <c r="I159" s="2" t="s">
        <v>7</v>
      </c>
      <c r="J159" s="2" t="s">
        <v>7</v>
      </c>
      <c r="K159" s="2">
        <v>0</v>
      </c>
      <c r="L159" s="2">
        <v>20.277799999999999</v>
      </c>
    </row>
    <row r="160" spans="5:12" x14ac:dyDescent="0.25">
      <c r="E160" s="2" t="s">
        <v>43</v>
      </c>
      <c r="F160" s="2" t="s">
        <v>7</v>
      </c>
      <c r="G160" s="2" t="s">
        <v>7</v>
      </c>
      <c r="H160" s="2" t="s">
        <v>7</v>
      </c>
      <c r="I160" s="2" t="s">
        <v>7</v>
      </c>
      <c r="J160" s="2" t="s">
        <v>7</v>
      </c>
      <c r="K160" s="2">
        <v>0</v>
      </c>
      <c r="L160" s="2">
        <v>20.277799999999999</v>
      </c>
    </row>
    <row r="161" spans="5:12" x14ac:dyDescent="0.25">
      <c r="E161" s="2" t="s">
        <v>392</v>
      </c>
      <c r="F161" s="2" t="s">
        <v>7</v>
      </c>
      <c r="G161" s="2" t="s">
        <v>7</v>
      </c>
      <c r="H161" s="2" t="s">
        <v>7</v>
      </c>
      <c r="I161" s="2" t="s">
        <v>7</v>
      </c>
      <c r="J161" s="2" t="s">
        <v>7</v>
      </c>
      <c r="K161" s="2">
        <v>0</v>
      </c>
      <c r="L161" s="2">
        <v>20.277799999999999</v>
      </c>
    </row>
    <row r="162" spans="5:12" x14ac:dyDescent="0.25">
      <c r="E162" s="2" t="s">
        <v>42</v>
      </c>
      <c r="F162" s="2" t="s">
        <v>7</v>
      </c>
      <c r="G162" s="2" t="s">
        <v>7</v>
      </c>
      <c r="H162" s="2" t="s">
        <v>7</v>
      </c>
      <c r="I162" s="2" t="s">
        <v>7</v>
      </c>
      <c r="J162" s="2" t="s">
        <v>7</v>
      </c>
      <c r="K162" s="2">
        <v>0</v>
      </c>
      <c r="L162" s="2">
        <v>20.277799999999999</v>
      </c>
    </row>
    <row r="163" spans="5:12" x14ac:dyDescent="0.25">
      <c r="E163" s="2" t="s">
        <v>41</v>
      </c>
      <c r="F163" s="2" t="s">
        <v>7</v>
      </c>
      <c r="G163" s="2" t="s">
        <v>7</v>
      </c>
      <c r="H163" s="2" t="s">
        <v>7</v>
      </c>
      <c r="I163" s="2" t="s">
        <v>7</v>
      </c>
      <c r="J163" s="2" t="s">
        <v>7</v>
      </c>
      <c r="K163" s="2">
        <v>0</v>
      </c>
      <c r="L163" s="2">
        <v>20.277799999999999</v>
      </c>
    </row>
    <row r="164" spans="5:12" x14ac:dyDescent="0.25">
      <c r="E164" s="2" t="s">
        <v>40</v>
      </c>
      <c r="F164" s="2" t="s">
        <v>7</v>
      </c>
      <c r="G164" s="2" t="s">
        <v>7</v>
      </c>
      <c r="H164" s="2" t="s">
        <v>7</v>
      </c>
      <c r="I164" s="2" t="s">
        <v>7</v>
      </c>
      <c r="J164" s="2" t="s">
        <v>7</v>
      </c>
      <c r="K164" s="2">
        <v>0</v>
      </c>
      <c r="L164" s="2">
        <v>20.277799999999999</v>
      </c>
    </row>
    <row r="165" spans="5:12" x14ac:dyDescent="0.25">
      <c r="E165" s="2" t="s">
        <v>39</v>
      </c>
      <c r="F165" s="2" t="s">
        <v>7</v>
      </c>
      <c r="G165" s="2" t="s">
        <v>7</v>
      </c>
      <c r="H165" s="2" t="s">
        <v>7</v>
      </c>
      <c r="I165" s="2" t="s">
        <v>7</v>
      </c>
      <c r="J165" s="2" t="s">
        <v>7</v>
      </c>
      <c r="K165" s="2">
        <v>0</v>
      </c>
      <c r="L165" s="2">
        <v>20.277799999999999</v>
      </c>
    </row>
    <row r="166" spans="5:12" x14ac:dyDescent="0.25">
      <c r="E166" s="2" t="s">
        <v>38</v>
      </c>
      <c r="F166" s="2" t="s">
        <v>7</v>
      </c>
      <c r="G166" s="2" t="s">
        <v>7</v>
      </c>
      <c r="H166" s="2" t="s">
        <v>7</v>
      </c>
      <c r="I166" s="2" t="s">
        <v>7</v>
      </c>
      <c r="J166" s="2" t="s">
        <v>7</v>
      </c>
      <c r="K166" s="2">
        <v>0</v>
      </c>
      <c r="L166" s="2">
        <v>20.277799999999999</v>
      </c>
    </row>
    <row r="167" spans="5:12" x14ac:dyDescent="0.25">
      <c r="E167" s="2" t="s">
        <v>36</v>
      </c>
      <c r="F167" s="2" t="s">
        <v>7</v>
      </c>
      <c r="G167" s="2" t="s">
        <v>7</v>
      </c>
      <c r="H167" s="2" t="s">
        <v>7</v>
      </c>
      <c r="I167" s="2" t="s">
        <v>7</v>
      </c>
      <c r="J167" s="2" t="s">
        <v>7</v>
      </c>
      <c r="K167" s="2">
        <v>0</v>
      </c>
      <c r="L167" s="2">
        <v>20.277799999999999</v>
      </c>
    </row>
    <row r="168" spans="5:12" x14ac:dyDescent="0.25">
      <c r="E168" s="2" t="s">
        <v>34</v>
      </c>
      <c r="F168" s="2" t="s">
        <v>7</v>
      </c>
      <c r="G168" s="2" t="s">
        <v>7</v>
      </c>
      <c r="H168" s="2" t="s">
        <v>7</v>
      </c>
      <c r="I168" s="2" t="s">
        <v>7</v>
      </c>
      <c r="J168" s="2" t="s">
        <v>7</v>
      </c>
      <c r="K168" s="2">
        <v>0</v>
      </c>
      <c r="L168" s="2">
        <v>20.277799999999999</v>
      </c>
    </row>
    <row r="169" spans="5:12" x14ac:dyDescent="0.25">
      <c r="E169" s="2" t="s">
        <v>33</v>
      </c>
      <c r="F169" s="2" t="s">
        <v>7</v>
      </c>
      <c r="G169" s="2" t="s">
        <v>7</v>
      </c>
      <c r="H169" s="2" t="s">
        <v>7</v>
      </c>
      <c r="I169" s="2" t="s">
        <v>7</v>
      </c>
      <c r="J169" s="2" t="s">
        <v>7</v>
      </c>
      <c r="K169" s="2">
        <v>0</v>
      </c>
      <c r="L169" s="2">
        <v>20.277799999999999</v>
      </c>
    </row>
    <row r="170" spans="5:12" x14ac:dyDescent="0.25">
      <c r="E170" s="2" t="s">
        <v>32</v>
      </c>
      <c r="F170" s="2" t="s">
        <v>7</v>
      </c>
      <c r="G170" s="2" t="s">
        <v>7</v>
      </c>
      <c r="H170" s="2" t="s">
        <v>7</v>
      </c>
      <c r="I170" s="2" t="s">
        <v>7</v>
      </c>
      <c r="J170" s="2" t="s">
        <v>7</v>
      </c>
      <c r="K170" s="2">
        <v>0</v>
      </c>
      <c r="L170" s="2">
        <v>20.277799999999999</v>
      </c>
    </row>
    <row r="171" spans="5:12" x14ac:dyDescent="0.25">
      <c r="E171" s="2" t="s">
        <v>37</v>
      </c>
      <c r="F171" s="2" t="s">
        <v>7</v>
      </c>
      <c r="G171" s="2" t="s">
        <v>7</v>
      </c>
      <c r="H171" s="2" t="s">
        <v>7</v>
      </c>
      <c r="I171" s="2" t="s">
        <v>7</v>
      </c>
      <c r="J171" s="2" t="s">
        <v>7</v>
      </c>
      <c r="K171" s="2">
        <v>0</v>
      </c>
      <c r="L171" s="2">
        <v>20.277799999999999</v>
      </c>
    </row>
    <row r="172" spans="5:12" x14ac:dyDescent="0.25">
      <c r="E172" s="2" t="s">
        <v>35</v>
      </c>
      <c r="F172" s="2" t="s">
        <v>7</v>
      </c>
      <c r="G172" s="2" t="s">
        <v>7</v>
      </c>
      <c r="H172" s="2" t="s">
        <v>7</v>
      </c>
      <c r="I172" s="2" t="s">
        <v>7</v>
      </c>
      <c r="J172" s="2" t="s">
        <v>7</v>
      </c>
      <c r="K172" s="2">
        <v>0</v>
      </c>
      <c r="L172" s="2">
        <v>20.277799999999999</v>
      </c>
    </row>
    <row r="173" spans="5:12" x14ac:dyDescent="0.25">
      <c r="E173" s="2" t="s">
        <v>391</v>
      </c>
      <c r="F173" s="2" t="s">
        <v>7</v>
      </c>
      <c r="G173" s="2" t="s">
        <v>7</v>
      </c>
      <c r="H173" s="2" t="s">
        <v>7</v>
      </c>
      <c r="I173" s="2" t="s">
        <v>7</v>
      </c>
      <c r="J173" s="2" t="s">
        <v>7</v>
      </c>
      <c r="K173" s="2">
        <v>0</v>
      </c>
      <c r="L173" s="2">
        <v>20.277799999999999</v>
      </c>
    </row>
    <row r="174" spans="5:12" x14ac:dyDescent="0.25">
      <c r="E174" s="2" t="s">
        <v>390</v>
      </c>
      <c r="F174" s="2" t="s">
        <v>7</v>
      </c>
      <c r="G174" s="2" t="s">
        <v>7</v>
      </c>
      <c r="H174" s="2" t="s">
        <v>7</v>
      </c>
      <c r="I174" s="2" t="s">
        <v>7</v>
      </c>
      <c r="J174" s="2" t="s">
        <v>7</v>
      </c>
      <c r="K174" s="2">
        <v>0</v>
      </c>
      <c r="L174" s="2">
        <v>20.277799999999999</v>
      </c>
    </row>
    <row r="175" spans="5:12" x14ac:dyDescent="0.25">
      <c r="E175" s="2" t="s">
        <v>31</v>
      </c>
      <c r="F175" s="2" t="s">
        <v>7</v>
      </c>
      <c r="G175" s="2" t="s">
        <v>7</v>
      </c>
      <c r="H175" s="2" t="s">
        <v>7</v>
      </c>
      <c r="I175" s="2" t="s">
        <v>7</v>
      </c>
      <c r="J175" s="2" t="s">
        <v>7</v>
      </c>
      <c r="K175" s="2">
        <v>0</v>
      </c>
      <c r="L175" s="2">
        <v>20.277799999999999</v>
      </c>
    </row>
    <row r="176" spans="5:12" x14ac:dyDescent="0.25">
      <c r="E176" s="2" t="s">
        <v>398</v>
      </c>
      <c r="F176" s="2" t="s">
        <v>7</v>
      </c>
      <c r="G176" s="2" t="s">
        <v>7</v>
      </c>
      <c r="H176" s="2" t="s">
        <v>7</v>
      </c>
      <c r="I176" s="2" t="s">
        <v>7</v>
      </c>
      <c r="J176" s="2" t="s">
        <v>7</v>
      </c>
      <c r="K176" s="2">
        <v>0</v>
      </c>
      <c r="L176" s="2">
        <v>6.55</v>
      </c>
    </row>
    <row r="177" spans="5:17" x14ac:dyDescent="0.25">
      <c r="E177" s="2" t="s">
        <v>397</v>
      </c>
      <c r="F177" s="2" t="s">
        <v>7</v>
      </c>
      <c r="G177" s="2" t="s">
        <v>7</v>
      </c>
      <c r="H177" s="2" t="s">
        <v>7</v>
      </c>
      <c r="I177" s="2" t="s">
        <v>7</v>
      </c>
      <c r="J177" s="2" t="s">
        <v>7</v>
      </c>
      <c r="K177" s="2">
        <v>0</v>
      </c>
      <c r="L177" s="2">
        <v>2.8018999999999998</v>
      </c>
    </row>
    <row r="178" spans="5:17" x14ac:dyDescent="0.25">
      <c r="E178" s="2" t="s">
        <v>396</v>
      </c>
      <c r="F178" s="2" t="s">
        <v>7</v>
      </c>
      <c r="G178" s="2" t="s">
        <v>7</v>
      </c>
      <c r="H178" s="2" t="s">
        <v>7</v>
      </c>
      <c r="I178" s="2" t="s">
        <v>7</v>
      </c>
      <c r="J178" s="2" t="s">
        <v>7</v>
      </c>
      <c r="K178" s="2">
        <v>0</v>
      </c>
      <c r="L178" s="2">
        <v>0</v>
      </c>
    </row>
    <row r="179" spans="5:17" x14ac:dyDescent="0.25">
      <c r="E179" s="2" t="s">
        <v>29</v>
      </c>
      <c r="F179" s="2" t="s">
        <v>7</v>
      </c>
      <c r="G179" s="2" t="s">
        <v>7</v>
      </c>
      <c r="H179" s="2" t="s">
        <v>7</v>
      </c>
      <c r="I179" s="2" t="s">
        <v>7</v>
      </c>
      <c r="J179" s="2" t="s">
        <v>7</v>
      </c>
      <c r="K179" s="2">
        <v>0</v>
      </c>
      <c r="L179" s="2">
        <v>0</v>
      </c>
    </row>
    <row r="180" spans="5:17" x14ac:dyDescent="0.25">
      <c r="E180" s="2" t="s">
        <v>27</v>
      </c>
      <c r="F180" s="2" t="s">
        <v>7</v>
      </c>
      <c r="G180" s="2" t="s">
        <v>7</v>
      </c>
      <c r="H180" s="2" t="s">
        <v>7</v>
      </c>
      <c r="I180" s="2" t="s">
        <v>7</v>
      </c>
      <c r="J180" s="2" t="s">
        <v>7</v>
      </c>
      <c r="K180" s="2">
        <v>0</v>
      </c>
      <c r="L180" s="2">
        <v>0</v>
      </c>
    </row>
    <row r="182" spans="5:17" x14ac:dyDescent="0.25">
      <c r="Q182" s="2" t="s">
        <v>395</v>
      </c>
    </row>
    <row r="183" spans="5:17" x14ac:dyDescent="0.25">
      <c r="Q183" s="2">
        <v>2012</v>
      </c>
    </row>
    <row r="184" spans="5:17" x14ac:dyDescent="0.25">
      <c r="O184" s="2" t="s">
        <v>8</v>
      </c>
      <c r="P184" s="2" t="s">
        <v>47</v>
      </c>
      <c r="Q184" s="2">
        <v>2.2200000000000002</v>
      </c>
    </row>
    <row r="185" spans="5:17" x14ac:dyDescent="0.25">
      <c r="O185" s="2" t="s">
        <v>8</v>
      </c>
      <c r="P185" s="2" t="s">
        <v>46</v>
      </c>
      <c r="Q185" s="2">
        <v>1.52</v>
      </c>
    </row>
    <row r="186" spans="5:17" x14ac:dyDescent="0.25">
      <c r="O186" s="2" t="s">
        <v>8</v>
      </c>
      <c r="P186" s="2" t="s">
        <v>45</v>
      </c>
      <c r="Q186" s="2">
        <v>3.48</v>
      </c>
    </row>
    <row r="187" spans="5:17" x14ac:dyDescent="0.25">
      <c r="O187" s="2" t="s">
        <v>8</v>
      </c>
      <c r="P187" s="2" t="s">
        <v>44</v>
      </c>
      <c r="Q187" s="2">
        <v>1.08</v>
      </c>
    </row>
    <row r="188" spans="5:17" x14ac:dyDescent="0.25">
      <c r="O188" s="2" t="s">
        <v>8</v>
      </c>
      <c r="P188" s="2" t="s">
        <v>43</v>
      </c>
      <c r="Q188" s="2">
        <v>1.9</v>
      </c>
    </row>
    <row r="189" spans="5:17" x14ac:dyDescent="0.25">
      <c r="O189" s="2" t="s">
        <v>8</v>
      </c>
      <c r="P189" s="2" t="s">
        <v>392</v>
      </c>
      <c r="Q189" s="2" t="s">
        <v>394</v>
      </c>
    </row>
    <row r="190" spans="5:17" x14ac:dyDescent="0.25">
      <c r="O190" s="2" t="s">
        <v>8</v>
      </c>
      <c r="P190" s="2" t="s">
        <v>42</v>
      </c>
      <c r="Q190" s="2">
        <v>0.16</v>
      </c>
    </row>
    <row r="191" spans="5:17" x14ac:dyDescent="0.25">
      <c r="O191" s="2" t="s">
        <v>8</v>
      </c>
      <c r="P191" s="2" t="s">
        <v>41</v>
      </c>
      <c r="Q191" s="2">
        <v>3.84</v>
      </c>
    </row>
    <row r="192" spans="5:17" x14ac:dyDescent="0.25">
      <c r="O192" s="2" t="s">
        <v>8</v>
      </c>
      <c r="P192" s="2" t="s">
        <v>40</v>
      </c>
      <c r="Q192" s="2">
        <v>0.8</v>
      </c>
    </row>
    <row r="193" spans="15:17" x14ac:dyDescent="0.25">
      <c r="O193" s="2" t="s">
        <v>8</v>
      </c>
      <c r="P193" s="2" t="s">
        <v>39</v>
      </c>
      <c r="Q193" s="2">
        <v>2.88</v>
      </c>
    </row>
    <row r="194" spans="15:17" x14ac:dyDescent="0.25">
      <c r="O194" s="2" t="s">
        <v>8</v>
      </c>
      <c r="P194" s="2" t="s">
        <v>38</v>
      </c>
      <c r="Q194" s="2">
        <v>3.54</v>
      </c>
    </row>
    <row r="195" spans="15:17" x14ac:dyDescent="0.25">
      <c r="O195" s="2" t="s">
        <v>8</v>
      </c>
      <c r="P195" s="2" t="s">
        <v>36</v>
      </c>
      <c r="Q195" s="2">
        <v>1.83</v>
      </c>
    </row>
    <row r="196" spans="15:17" x14ac:dyDescent="0.25">
      <c r="O196" s="2" t="s">
        <v>8</v>
      </c>
      <c r="P196" s="2" t="s">
        <v>34</v>
      </c>
      <c r="Q196" s="2">
        <v>2.0099999999999998</v>
      </c>
    </row>
    <row r="197" spans="15:17" x14ac:dyDescent="0.25">
      <c r="O197" s="2" t="s">
        <v>8</v>
      </c>
      <c r="P197" s="2" t="s">
        <v>33</v>
      </c>
      <c r="Q197" s="2">
        <v>3.72</v>
      </c>
    </row>
    <row r="198" spans="15:17" x14ac:dyDescent="0.25">
      <c r="O198" s="2" t="s">
        <v>8</v>
      </c>
      <c r="P198" s="2" t="s">
        <v>32</v>
      </c>
      <c r="Q198" s="2">
        <v>3.48</v>
      </c>
    </row>
    <row r="199" spans="15:17" x14ac:dyDescent="0.25">
      <c r="O199" s="2" t="s">
        <v>8</v>
      </c>
      <c r="P199" s="2" t="s">
        <v>37</v>
      </c>
      <c r="Q199" s="2">
        <v>0.15</v>
      </c>
    </row>
    <row r="200" spans="15:17" x14ac:dyDescent="0.25">
      <c r="O200" s="2" t="s">
        <v>8</v>
      </c>
      <c r="P200" s="2" t="s">
        <v>35</v>
      </c>
      <c r="Q200" s="2">
        <v>0.5</v>
      </c>
    </row>
    <row r="201" spans="15:17" x14ac:dyDescent="0.25">
      <c r="O201" s="2" t="s">
        <v>8</v>
      </c>
      <c r="P201" s="2" t="s">
        <v>391</v>
      </c>
      <c r="Q201" s="2">
        <v>0.09</v>
      </c>
    </row>
    <row r="202" spans="15:17" x14ac:dyDescent="0.25">
      <c r="O202" s="2" t="s">
        <v>8</v>
      </c>
      <c r="P202" s="2" t="s">
        <v>390</v>
      </c>
      <c r="Q202" s="2">
        <v>0.18</v>
      </c>
    </row>
    <row r="203" spans="15:17" x14ac:dyDescent="0.25">
      <c r="O203" s="2" t="s">
        <v>8</v>
      </c>
      <c r="P203" s="2" t="s">
        <v>31</v>
      </c>
      <c r="Q203" s="2">
        <v>3.54</v>
      </c>
    </row>
    <row r="210" spans="15:17" x14ac:dyDescent="0.25">
      <c r="P210" s="2">
        <v>2011</v>
      </c>
      <c r="Q210" s="2">
        <v>2012</v>
      </c>
    </row>
    <row r="211" spans="15:17" x14ac:dyDescent="0.25">
      <c r="O211" s="2" t="s">
        <v>48</v>
      </c>
      <c r="Q211" s="2">
        <v>30</v>
      </c>
    </row>
    <row r="212" spans="15:17" x14ac:dyDescent="0.25">
      <c r="O212" s="2" t="s">
        <v>47</v>
      </c>
      <c r="P212" s="2">
        <v>10</v>
      </c>
      <c r="Q212" s="2">
        <v>10</v>
      </c>
    </row>
    <row r="213" spans="15:17" x14ac:dyDescent="0.25">
      <c r="O213" s="2" t="s">
        <v>46</v>
      </c>
      <c r="P213" s="2">
        <v>10</v>
      </c>
      <c r="Q213" s="2">
        <v>10</v>
      </c>
    </row>
    <row r="214" spans="15:17" x14ac:dyDescent="0.25">
      <c r="O214" s="2" t="s">
        <v>45</v>
      </c>
      <c r="P214" s="2">
        <v>9</v>
      </c>
      <c r="Q214" s="2">
        <v>9</v>
      </c>
    </row>
    <row r="215" spans="15:17" x14ac:dyDescent="0.25">
      <c r="O215" s="2" t="s">
        <v>44</v>
      </c>
      <c r="P215" s="2">
        <v>10</v>
      </c>
      <c r="Q215" s="2">
        <v>10</v>
      </c>
    </row>
    <row r="216" spans="15:17" x14ac:dyDescent="0.25">
      <c r="O216" s="2" t="s">
        <v>43</v>
      </c>
      <c r="P216" s="2">
        <v>10</v>
      </c>
      <c r="Q216" s="2">
        <v>10</v>
      </c>
    </row>
    <row r="217" spans="15:17" x14ac:dyDescent="0.25">
      <c r="O217" s="2" t="s">
        <v>393</v>
      </c>
      <c r="Q217" s="2">
        <v>30</v>
      </c>
    </row>
    <row r="218" spans="15:17" x14ac:dyDescent="0.25">
      <c r="O218" s="2" t="s">
        <v>392</v>
      </c>
      <c r="Q218" s="2">
        <v>10</v>
      </c>
    </row>
    <row r="219" spans="15:17" x14ac:dyDescent="0.25">
      <c r="O219" s="2" t="s">
        <v>42</v>
      </c>
      <c r="P219" s="2">
        <v>10</v>
      </c>
      <c r="Q219" s="2">
        <v>10</v>
      </c>
    </row>
    <row r="220" spans="15:17" x14ac:dyDescent="0.25">
      <c r="O220" s="2" t="s">
        <v>41</v>
      </c>
      <c r="P220" s="2">
        <v>16</v>
      </c>
      <c r="Q220" s="2">
        <v>16</v>
      </c>
    </row>
    <row r="221" spans="15:17" x14ac:dyDescent="0.25">
      <c r="O221" s="2" t="s">
        <v>40</v>
      </c>
      <c r="P221" s="2">
        <v>10</v>
      </c>
      <c r="Q221" s="2">
        <v>10</v>
      </c>
    </row>
    <row r="222" spans="15:17" x14ac:dyDescent="0.25">
      <c r="O222" s="2" t="s">
        <v>39</v>
      </c>
      <c r="P222" s="2">
        <v>10</v>
      </c>
      <c r="Q222" s="2">
        <v>10</v>
      </c>
    </row>
    <row r="223" spans="15:17" x14ac:dyDescent="0.25">
      <c r="O223" s="2" t="s">
        <v>38</v>
      </c>
      <c r="P223" s="2">
        <v>15</v>
      </c>
      <c r="Q223" s="2">
        <v>15</v>
      </c>
    </row>
    <row r="224" spans="15:17" x14ac:dyDescent="0.25">
      <c r="O224" s="2" t="s">
        <v>36</v>
      </c>
      <c r="P224" s="2">
        <v>22</v>
      </c>
      <c r="Q224" s="2">
        <v>22</v>
      </c>
    </row>
    <row r="225" spans="15:17" x14ac:dyDescent="0.25">
      <c r="O225" s="2" t="s">
        <v>34</v>
      </c>
      <c r="P225" s="2">
        <v>25</v>
      </c>
      <c r="Q225" s="2">
        <v>25</v>
      </c>
    </row>
    <row r="226" spans="15:17" x14ac:dyDescent="0.25">
      <c r="O226" s="2" t="s">
        <v>32</v>
      </c>
      <c r="P226" s="2">
        <v>10</v>
      </c>
      <c r="Q226" s="2">
        <v>10</v>
      </c>
    </row>
    <row r="227" spans="15:17" x14ac:dyDescent="0.25">
      <c r="O227" s="2" t="s">
        <v>37</v>
      </c>
      <c r="P227" s="2">
        <v>10</v>
      </c>
      <c r="Q227" s="2">
        <v>10</v>
      </c>
    </row>
    <row r="228" spans="15:17" x14ac:dyDescent="0.25">
      <c r="O228" s="2" t="s">
        <v>35</v>
      </c>
      <c r="P228" s="2">
        <v>10</v>
      </c>
      <c r="Q228" s="2">
        <v>10</v>
      </c>
    </row>
    <row r="229" spans="15:17" x14ac:dyDescent="0.25">
      <c r="O229" s="2" t="s">
        <v>391</v>
      </c>
      <c r="P229" s="2">
        <v>10</v>
      </c>
      <c r="Q229" s="2">
        <v>10</v>
      </c>
    </row>
    <row r="230" spans="15:17" x14ac:dyDescent="0.25">
      <c r="O230" s="2" t="s">
        <v>390</v>
      </c>
      <c r="P230" s="2">
        <v>10</v>
      </c>
      <c r="Q230" s="2">
        <v>10</v>
      </c>
    </row>
    <row r="231" spans="15:17" x14ac:dyDescent="0.25">
      <c r="O231" s="2" t="s">
        <v>389</v>
      </c>
      <c r="Q231" s="2">
        <v>50</v>
      </c>
    </row>
    <row r="232" spans="15:17" x14ac:dyDescent="0.25">
      <c r="O232" s="2" t="s">
        <v>31</v>
      </c>
      <c r="P232" s="2">
        <v>16</v>
      </c>
      <c r="Q232" s="2">
        <v>16</v>
      </c>
    </row>
    <row r="233" spans="15:17" x14ac:dyDescent="0.25">
      <c r="O233" s="2" t="s">
        <v>388</v>
      </c>
      <c r="Q233" s="2">
        <v>50</v>
      </c>
    </row>
    <row r="234" spans="15:17" x14ac:dyDescent="0.25">
      <c r="O234" s="2" t="s">
        <v>387</v>
      </c>
      <c r="P234" s="2">
        <v>16</v>
      </c>
      <c r="Q234" s="2">
        <v>16</v>
      </c>
    </row>
    <row r="235" spans="15:17" x14ac:dyDescent="0.25">
      <c r="O235" s="2" t="s">
        <v>33</v>
      </c>
      <c r="Q235" s="2">
        <v>50</v>
      </c>
    </row>
  </sheetData>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D7C1D-17FC-4D7D-8FFC-A6353989FB71}">
  <sheetPr codeName="Sheet2">
    <tabColor theme="4"/>
  </sheetPr>
  <dimension ref="A1:AX130"/>
  <sheetViews>
    <sheetView topLeftCell="M1" workbookViewId="0">
      <selection activeCell="T5" sqref="T5"/>
    </sheetView>
  </sheetViews>
  <sheetFormatPr defaultRowHeight="15" x14ac:dyDescent="0.25"/>
  <cols>
    <col min="1" max="1" width="19.5703125" style="3" customWidth="1"/>
    <col min="2" max="5" width="9.140625" style="3"/>
    <col min="6" max="6" width="13.85546875" style="3" customWidth="1"/>
    <col min="7" max="7" width="16.7109375" style="3" bestFit="1" customWidth="1"/>
    <col min="8" max="8" width="10.85546875" style="3" customWidth="1"/>
    <col min="9" max="9" width="12" style="3" customWidth="1"/>
    <col min="10" max="10" width="11.5703125" style="3" bestFit="1" customWidth="1"/>
    <col min="11" max="11" width="12.7109375" style="3" bestFit="1" customWidth="1"/>
    <col min="12" max="12" width="13.85546875" style="3" customWidth="1"/>
    <col min="13" max="13" width="13.85546875" style="3" bestFit="1" customWidth="1"/>
    <col min="14" max="16" width="9.140625" style="3"/>
    <col min="17" max="17" width="16.7109375" style="3" bestFit="1" customWidth="1"/>
    <col min="18" max="19" width="9.140625" style="3"/>
    <col min="20" max="20" width="13.7109375" style="3" customWidth="1"/>
    <col min="21" max="21" width="13.28515625" style="3" customWidth="1"/>
    <col min="22" max="22" width="11.5703125" style="3" customWidth="1"/>
    <col min="23" max="23" width="20.5703125" style="3" customWidth="1"/>
    <col min="24" max="27" width="9.140625" style="3"/>
    <col min="28" max="28" width="14.7109375" style="3" customWidth="1"/>
    <col min="29" max="35" width="9.140625" style="3"/>
    <col min="36" max="36" width="14.85546875" style="3" customWidth="1"/>
    <col min="37" max="43" width="9.140625" style="3"/>
    <col min="44" max="44" width="12.42578125" style="3" customWidth="1"/>
    <col min="45" max="16384" width="9.140625" style="3"/>
  </cols>
  <sheetData>
    <row r="1" spans="1:50" x14ac:dyDescent="0.25">
      <c r="B1" s="3" t="s">
        <v>220</v>
      </c>
      <c r="H1" s="3" t="s">
        <v>219</v>
      </c>
      <c r="I1" s="3">
        <f t="array" ref="I1:L1">TRANSPOSE('From SAM'!Q28:Q31)*1000</f>
        <v>110.01900000000001</v>
      </c>
      <c r="J1" s="3">
        <v>112.75</v>
      </c>
      <c r="K1" s="3">
        <v>173.19399999999999</v>
      </c>
      <c r="L1" s="3">
        <v>395.77199999999999</v>
      </c>
      <c r="T1" s="3" t="str">
        <f>UPPER(B2)</f>
        <v>FLAB-P</v>
      </c>
      <c r="AB1" s="3" t="str">
        <f>UPPER(C2)</f>
        <v>FLAB-M</v>
      </c>
      <c r="AJ1" s="3" t="str">
        <f>UPPER(D2)</f>
        <v>FLAB-S</v>
      </c>
      <c r="AR1" s="3" t="str">
        <f>UPPER(E2)</f>
        <v>FLAB-T</v>
      </c>
    </row>
    <row r="2" spans="1:50" x14ac:dyDescent="0.25">
      <c r="A2" s="3" t="s">
        <v>59</v>
      </c>
      <c r="B2" s="3" t="s">
        <v>134</v>
      </c>
      <c r="C2" s="3" t="s">
        <v>132</v>
      </c>
      <c r="D2" s="3" t="s">
        <v>130</v>
      </c>
      <c r="E2" s="3" t="s">
        <v>128</v>
      </c>
      <c r="F2" s="3" t="s">
        <v>60</v>
      </c>
      <c r="G2" s="3" t="s">
        <v>218</v>
      </c>
      <c r="H2" s="3" t="s">
        <v>60</v>
      </c>
      <c r="I2" s="3" t="str">
        <f>B2</f>
        <v>flab-p</v>
      </c>
      <c r="J2" s="3" t="str">
        <f>C2</f>
        <v>flab-m</v>
      </c>
      <c r="K2" s="3" t="str">
        <f>D2</f>
        <v>flab-s</v>
      </c>
      <c r="L2" s="3" t="str">
        <f>E2</f>
        <v>flab-t</v>
      </c>
      <c r="M2" s="3" t="s">
        <v>217</v>
      </c>
      <c r="N2" s="3" t="s">
        <v>216</v>
      </c>
      <c r="O2" s="3" t="s">
        <v>215</v>
      </c>
      <c r="P2" s="3" t="s">
        <v>214</v>
      </c>
      <c r="U2" s="57"/>
      <c r="V2" s="57"/>
      <c r="W2"/>
      <c r="X2"/>
      <c r="AC2" s="57"/>
      <c r="AD2" s="57"/>
      <c r="AE2"/>
      <c r="AF2"/>
      <c r="AK2" s="57"/>
      <c r="AL2" s="57"/>
      <c r="AM2"/>
      <c r="AN2"/>
      <c r="AS2" s="57"/>
      <c r="AT2" s="57"/>
      <c r="AU2"/>
      <c r="AV2"/>
    </row>
    <row r="3" spans="1:50" x14ac:dyDescent="0.25">
      <c r="A3" s="9" t="s">
        <v>203</v>
      </c>
      <c r="F3" s="29"/>
      <c r="G3" s="29">
        <f>SUM(G6:G18)-G9</f>
        <v>43.910000000000004</v>
      </c>
      <c r="H3" s="29">
        <f>SUM(H6:H18)</f>
        <v>15.221333333333332</v>
      </c>
      <c r="M3" s="28">
        <f>SUM(M6:M18)</f>
        <v>4888.6915931110007</v>
      </c>
      <c r="O3" s="6">
        <f>SUMPRODUCT(B3:E3,$I$1:$L$1)</f>
        <v>0</v>
      </c>
      <c r="T3" t="s">
        <v>489</v>
      </c>
      <c r="U3" s="1" t="s">
        <v>480</v>
      </c>
      <c r="V3" s="1" t="str">
        <f t="shared" ref="V3:V24" si="0">T$1</f>
        <v>FLAB-P</v>
      </c>
      <c r="W3" s="1" t="s">
        <v>484</v>
      </c>
      <c r="X3">
        <v>3</v>
      </c>
      <c r="Y3">
        <f>B3</f>
        <v>0</v>
      </c>
      <c r="AB3" t="s">
        <v>489</v>
      </c>
      <c r="AC3" s="1" t="s">
        <v>480</v>
      </c>
      <c r="AD3" s="1" t="str">
        <f t="shared" ref="AD3:AD24" si="1">AB$1</f>
        <v>FLAB-M</v>
      </c>
      <c r="AE3" s="1" t="s">
        <v>484</v>
      </c>
      <c r="AF3">
        <v>3</v>
      </c>
      <c r="AG3">
        <f>C3</f>
        <v>0</v>
      </c>
      <c r="AJ3" t="s">
        <v>489</v>
      </c>
      <c r="AK3" s="1" t="s">
        <v>480</v>
      </c>
      <c r="AL3" s="1" t="str">
        <f t="shared" ref="AL3:AL24" si="2">AJ$1</f>
        <v>FLAB-S</v>
      </c>
      <c r="AM3" s="1" t="s">
        <v>484</v>
      </c>
      <c r="AN3">
        <v>3</v>
      </c>
      <c r="AO3">
        <f>D3</f>
        <v>0</v>
      </c>
      <c r="AR3" t="s">
        <v>489</v>
      </c>
      <c r="AS3" s="1" t="s">
        <v>480</v>
      </c>
      <c r="AT3" s="1" t="str">
        <f t="shared" ref="AT3:AT24" si="3">AR$1</f>
        <v>FLAB-T</v>
      </c>
      <c r="AU3" s="1" t="s">
        <v>484</v>
      </c>
      <c r="AV3">
        <v>3</v>
      </c>
      <c r="AW3">
        <f>E3</f>
        <v>0</v>
      </c>
    </row>
    <row r="4" spans="1:50" x14ac:dyDescent="0.25">
      <c r="A4" s="9"/>
      <c r="F4" s="29"/>
      <c r="G4" s="29"/>
      <c r="H4" s="29"/>
      <c r="M4" s="28"/>
      <c r="O4" s="6"/>
      <c r="T4" s="57" t="s">
        <v>478</v>
      </c>
      <c r="U4" s="1"/>
      <c r="V4" s="1"/>
      <c r="W4" s="1"/>
      <c r="X4"/>
      <c r="Y4"/>
      <c r="AB4" s="57" t="s">
        <v>478</v>
      </c>
      <c r="AC4" s="1"/>
      <c r="AD4" s="1"/>
      <c r="AE4" s="1"/>
      <c r="AF4"/>
      <c r="AG4"/>
      <c r="AJ4" s="57" t="s">
        <v>478</v>
      </c>
      <c r="AK4" s="1"/>
      <c r="AL4" s="1"/>
      <c r="AM4" s="1"/>
      <c r="AN4"/>
      <c r="AO4"/>
      <c r="AR4" s="57" t="s">
        <v>478</v>
      </c>
      <c r="AS4" s="1"/>
      <c r="AT4" s="1"/>
      <c r="AU4" s="1"/>
      <c r="AV4"/>
      <c r="AW4"/>
    </row>
    <row r="5" spans="1:50" ht="15" customHeight="1" x14ac:dyDescent="0.25">
      <c r="A5" s="3" t="s">
        <v>213</v>
      </c>
      <c r="B5" s="3">
        <f t="array" ref="B5:E5">TRANSPOSE('From SAM'!G28:G31)</f>
        <v>5.1587548519758449E-2</v>
      </c>
      <c r="C5" s="3">
        <v>5.8710463397399472E-2</v>
      </c>
      <c r="D5" s="3">
        <v>0.19425465215810078</v>
      </c>
      <c r="E5" s="3">
        <v>0.69544733592474128</v>
      </c>
      <c r="F5" s="12" t="s">
        <v>84</v>
      </c>
      <c r="G5" s="3" t="s">
        <v>86</v>
      </c>
      <c r="H5" s="12" t="s">
        <v>212</v>
      </c>
      <c r="T5" s="59" t="s">
        <v>479</v>
      </c>
      <c r="U5" s="59" t="s">
        <v>1</v>
      </c>
      <c r="V5" s="59" t="s">
        <v>482</v>
      </c>
      <c r="W5" s="61" t="s">
        <v>485</v>
      </c>
      <c r="X5">
        <v>0</v>
      </c>
      <c r="Y5" s="59">
        <v>2017</v>
      </c>
      <c r="Z5" s="59">
        <v>2050</v>
      </c>
      <c r="AB5" s="59" t="s">
        <v>479</v>
      </c>
      <c r="AC5" s="59" t="s">
        <v>1</v>
      </c>
      <c r="AD5" s="59" t="s">
        <v>482</v>
      </c>
      <c r="AE5" s="61" t="s">
        <v>485</v>
      </c>
      <c r="AF5">
        <v>0</v>
      </c>
      <c r="AG5" s="59">
        <v>2017</v>
      </c>
      <c r="AH5" s="59">
        <v>2050</v>
      </c>
      <c r="AJ5" s="59" t="s">
        <v>479</v>
      </c>
      <c r="AK5" s="59" t="s">
        <v>1</v>
      </c>
      <c r="AL5" s="59" t="s">
        <v>482</v>
      </c>
      <c r="AM5" s="61" t="s">
        <v>485</v>
      </c>
      <c r="AN5">
        <v>0</v>
      </c>
      <c r="AO5" s="59">
        <v>2017</v>
      </c>
      <c r="AP5" s="59">
        <v>2050</v>
      </c>
      <c r="AR5" s="59" t="s">
        <v>479</v>
      </c>
      <c r="AS5" s="59" t="s">
        <v>1</v>
      </c>
      <c r="AT5" s="59" t="s">
        <v>482</v>
      </c>
      <c r="AU5" s="61" t="s">
        <v>485</v>
      </c>
      <c r="AV5">
        <v>0</v>
      </c>
      <c r="AW5" s="59">
        <v>2017</v>
      </c>
      <c r="AX5" s="59">
        <v>2050</v>
      </c>
    </row>
    <row r="6" spans="1:50" x14ac:dyDescent="0.25">
      <c r="A6" s="3" t="s">
        <v>58</v>
      </c>
      <c r="B6" s="3">
        <f t="shared" ref="B6:E18" si="4">ROUND(B$5*$F6,5)</f>
        <v>1.72E-2</v>
      </c>
      <c r="C6" s="3">
        <f t="shared" si="4"/>
        <v>1.958E-2</v>
      </c>
      <c r="D6" s="3">
        <f t="shared" si="4"/>
        <v>6.4769999999999994E-2</v>
      </c>
      <c r="E6" s="3">
        <f t="shared" si="4"/>
        <v>0.23189000000000001</v>
      </c>
      <c r="F6" s="4">
        <f>F8</f>
        <v>0.33344431232659533</v>
      </c>
      <c r="G6" s="3">
        <f t="shared" ref="G6:G18" si="5">SUMIF($A$35:$A$42,A6,$B$35:$B$42)</f>
        <v>1.58</v>
      </c>
      <c r="H6" s="4">
        <f t="shared" ref="H6:H18" si="6">G6*F6</f>
        <v>0.52684201347602067</v>
      </c>
      <c r="I6" s="13">
        <f t="shared" ref="I6:I18" si="7">B6*$G6*I$1</f>
        <v>2.9898763440000002</v>
      </c>
      <c r="J6" s="13">
        <f t="shared" ref="J6:J18" si="8">C6*$G6*J$1</f>
        <v>3.4880791000000002</v>
      </c>
      <c r="K6" s="13">
        <f t="shared" ref="K6:K18" si="9">D6*$G6*K$1</f>
        <v>17.7240851004</v>
      </c>
      <c r="L6" s="13">
        <f t="shared" ref="L6:L18" si="10">E6*$G6*L$1</f>
        <v>145.00539914640001</v>
      </c>
      <c r="M6" s="13">
        <f t="shared" ref="M6:M18" si="11">SUM(I6:L6)</f>
        <v>169.20743969080002</v>
      </c>
      <c r="O6" s="6">
        <f t="shared" ref="O6:O24" si="12">SUMPRODUCT(B6:E6,$I$1:$L$1)</f>
        <v>107.09331625999999</v>
      </c>
      <c r="P6" s="3">
        <v>3.9</v>
      </c>
      <c r="T6" t="str">
        <f>$A6</f>
        <v>EPumpStorage</v>
      </c>
      <c r="U6" s="1" t="s">
        <v>480</v>
      </c>
      <c r="V6" s="1" t="str">
        <f>T$1</f>
        <v>FLAB-P</v>
      </c>
      <c r="W6" s="1" t="s">
        <v>484</v>
      </c>
      <c r="X6">
        <v>3</v>
      </c>
      <c r="Y6">
        <f t="shared" ref="Y6:Y24" si="13">B6</f>
        <v>1.72E-2</v>
      </c>
      <c r="Z6"/>
      <c r="AB6" t="str">
        <f>$A6</f>
        <v>EPumpStorage</v>
      </c>
      <c r="AC6" s="1" t="s">
        <v>480</v>
      </c>
      <c r="AD6" s="1" t="str">
        <f>AB$1</f>
        <v>FLAB-M</v>
      </c>
      <c r="AE6" s="1" t="s">
        <v>484</v>
      </c>
      <c r="AF6">
        <v>3</v>
      </c>
      <c r="AG6">
        <f>C6</f>
        <v>1.958E-2</v>
      </c>
      <c r="AH6"/>
      <c r="AJ6" t="str">
        <f>$A6</f>
        <v>EPumpStorage</v>
      </c>
      <c r="AK6" s="1" t="s">
        <v>480</v>
      </c>
      <c r="AL6" s="1" t="str">
        <f>AJ$1</f>
        <v>FLAB-S</v>
      </c>
      <c r="AM6" s="1" t="s">
        <v>484</v>
      </c>
      <c r="AN6">
        <v>3</v>
      </c>
      <c r="AO6">
        <f>D6</f>
        <v>6.4769999999999994E-2</v>
      </c>
      <c r="AP6"/>
      <c r="AR6" t="str">
        <f>$A6</f>
        <v>EPumpStorage</v>
      </c>
      <c r="AS6" s="1" t="s">
        <v>480</v>
      </c>
      <c r="AT6" s="1" t="str">
        <f>AR$1</f>
        <v>FLAB-T</v>
      </c>
      <c r="AU6" s="1" t="s">
        <v>484</v>
      </c>
      <c r="AV6">
        <v>3</v>
      </c>
      <c r="AW6">
        <f>E6</f>
        <v>0.23189000000000001</v>
      </c>
      <c r="AX6"/>
    </row>
    <row r="7" spans="1:50" x14ac:dyDescent="0.25">
      <c r="A7" s="3" t="s">
        <v>57</v>
      </c>
      <c r="B7" s="3">
        <f t="shared" si="4"/>
        <v>1.72E-2</v>
      </c>
      <c r="C7" s="3">
        <f t="shared" si="4"/>
        <v>1.958E-2</v>
      </c>
      <c r="D7" s="3">
        <f t="shared" si="4"/>
        <v>6.4769999999999994E-2</v>
      </c>
      <c r="E7" s="3">
        <f t="shared" si="4"/>
        <v>0.23189000000000001</v>
      </c>
      <c r="F7" s="4">
        <f>F8</f>
        <v>0.33344431232659533</v>
      </c>
      <c r="G7" s="3">
        <f t="shared" si="5"/>
        <v>0</v>
      </c>
      <c r="H7" s="4">
        <f t="shared" si="6"/>
        <v>0</v>
      </c>
      <c r="I7" s="13">
        <f t="shared" si="7"/>
        <v>0</v>
      </c>
      <c r="J7" s="13">
        <f t="shared" si="8"/>
        <v>0</v>
      </c>
      <c r="K7" s="13">
        <f t="shared" si="9"/>
        <v>0</v>
      </c>
      <c r="L7" s="13">
        <f t="shared" si="10"/>
        <v>0</v>
      </c>
      <c r="M7" s="13">
        <f t="shared" si="11"/>
        <v>0</v>
      </c>
      <c r="O7" s="6">
        <f t="shared" si="12"/>
        <v>107.09331625999999</v>
      </c>
      <c r="T7" t="str">
        <f t="shared" ref="T7:T24" si="14">$A7</f>
        <v>EBiomass</v>
      </c>
      <c r="U7" s="1" t="s">
        <v>480</v>
      </c>
      <c r="V7" s="1" t="str">
        <f t="shared" si="0"/>
        <v>FLAB-P</v>
      </c>
      <c r="W7" s="1" t="s">
        <v>484</v>
      </c>
      <c r="X7">
        <v>3</v>
      </c>
      <c r="Y7">
        <f t="shared" si="13"/>
        <v>1.72E-2</v>
      </c>
      <c r="AB7" t="str">
        <f t="shared" ref="AB7:AB24" si="15">$A7</f>
        <v>EBiomass</v>
      </c>
      <c r="AC7" s="1" t="s">
        <v>480</v>
      </c>
      <c r="AD7" s="1" t="str">
        <f t="shared" si="1"/>
        <v>FLAB-M</v>
      </c>
      <c r="AE7" s="1" t="s">
        <v>484</v>
      </c>
      <c r="AF7">
        <v>3</v>
      </c>
      <c r="AG7">
        <f t="shared" ref="AG7:AG24" si="16">C7</f>
        <v>1.958E-2</v>
      </c>
      <c r="AJ7" t="str">
        <f t="shared" ref="AJ7:AJ24" si="17">$A7</f>
        <v>EBiomass</v>
      </c>
      <c r="AK7" s="1" t="s">
        <v>480</v>
      </c>
      <c r="AL7" s="1" t="str">
        <f t="shared" si="2"/>
        <v>FLAB-S</v>
      </c>
      <c r="AM7" s="1" t="s">
        <v>484</v>
      </c>
      <c r="AN7">
        <v>3</v>
      </c>
      <c r="AO7">
        <f t="shared" ref="AO7:AO24" si="18">D7</f>
        <v>6.4769999999999994E-2</v>
      </c>
      <c r="AR7" t="str">
        <f t="shared" ref="AR7:AR24" si="19">$A7</f>
        <v>EBiomass</v>
      </c>
      <c r="AS7" s="1" t="s">
        <v>480</v>
      </c>
      <c r="AT7" s="1" t="str">
        <f t="shared" si="3"/>
        <v>FLAB-T</v>
      </c>
      <c r="AU7" s="1" t="s">
        <v>484</v>
      </c>
      <c r="AV7">
        <v>3</v>
      </c>
      <c r="AW7">
        <f t="shared" ref="AW7:AW24" si="20">E7</f>
        <v>0.23189000000000001</v>
      </c>
    </row>
    <row r="8" spans="1:50" x14ac:dyDescent="0.25">
      <c r="A8" s="3" t="s">
        <v>55</v>
      </c>
      <c r="B8" s="3">
        <f t="shared" si="4"/>
        <v>1.72E-2</v>
      </c>
      <c r="C8" s="3">
        <f t="shared" si="4"/>
        <v>1.958E-2</v>
      </c>
      <c r="D8" s="3">
        <f t="shared" si="4"/>
        <v>6.4769999999999994E-2</v>
      </c>
      <c r="E8" s="3">
        <f t="shared" si="4"/>
        <v>0.23189000000000001</v>
      </c>
      <c r="F8" s="4">
        <f>F15</f>
        <v>0.33344431232659533</v>
      </c>
      <c r="G8" s="3">
        <f t="shared" si="5"/>
        <v>0.67</v>
      </c>
      <c r="H8" s="4">
        <f t="shared" si="6"/>
        <v>0.22340768925881888</v>
      </c>
      <c r="I8" s="13">
        <f t="shared" si="7"/>
        <v>1.2678589560000002</v>
      </c>
      <c r="J8" s="13">
        <f t="shared" si="8"/>
        <v>1.47912215</v>
      </c>
      <c r="K8" s="13">
        <f t="shared" si="9"/>
        <v>7.5159095045999997</v>
      </c>
      <c r="L8" s="13">
        <f t="shared" si="10"/>
        <v>61.489631283600005</v>
      </c>
      <c r="M8" s="13">
        <f t="shared" si="11"/>
        <v>71.752521894200001</v>
      </c>
      <c r="O8" s="6">
        <f t="shared" si="12"/>
        <v>107.09331625999999</v>
      </c>
      <c r="P8" s="3">
        <v>36</v>
      </c>
      <c r="T8" t="str">
        <f t="shared" si="14"/>
        <v>EHydro</v>
      </c>
      <c r="U8" s="1" t="s">
        <v>480</v>
      </c>
      <c r="V8" s="1" t="str">
        <f t="shared" si="0"/>
        <v>FLAB-P</v>
      </c>
      <c r="W8" s="1" t="s">
        <v>484</v>
      </c>
      <c r="X8">
        <v>3</v>
      </c>
      <c r="Y8">
        <f t="shared" si="13"/>
        <v>1.72E-2</v>
      </c>
      <c r="AB8" t="str">
        <f t="shared" si="15"/>
        <v>EHydro</v>
      </c>
      <c r="AC8" s="1" t="s">
        <v>480</v>
      </c>
      <c r="AD8" s="1" t="str">
        <f t="shared" si="1"/>
        <v>FLAB-M</v>
      </c>
      <c r="AE8" s="1" t="s">
        <v>484</v>
      </c>
      <c r="AF8">
        <v>3</v>
      </c>
      <c r="AG8">
        <f t="shared" si="16"/>
        <v>1.958E-2</v>
      </c>
      <c r="AJ8" t="str">
        <f t="shared" si="17"/>
        <v>EHydro</v>
      </c>
      <c r="AK8" s="1" t="s">
        <v>480</v>
      </c>
      <c r="AL8" s="1" t="str">
        <f t="shared" si="2"/>
        <v>FLAB-S</v>
      </c>
      <c r="AM8" s="1" t="s">
        <v>484</v>
      </c>
      <c r="AN8">
        <v>3</v>
      </c>
      <c r="AO8">
        <f t="shared" si="18"/>
        <v>6.4769999999999994E-2</v>
      </c>
      <c r="AR8" t="str">
        <f t="shared" si="19"/>
        <v>EHydro</v>
      </c>
      <c r="AS8" s="1" t="s">
        <v>480</v>
      </c>
      <c r="AT8" s="1" t="str">
        <f t="shared" si="3"/>
        <v>FLAB-T</v>
      </c>
      <c r="AU8" s="1" t="s">
        <v>484</v>
      </c>
      <c r="AV8">
        <v>3</v>
      </c>
      <c r="AW8">
        <f t="shared" si="20"/>
        <v>0.23189000000000001</v>
      </c>
    </row>
    <row r="9" spans="1:50" x14ac:dyDescent="0.25">
      <c r="A9" s="3" t="s">
        <v>56</v>
      </c>
      <c r="B9" s="3">
        <f t="shared" si="4"/>
        <v>0</v>
      </c>
      <c r="C9" s="3">
        <f t="shared" si="4"/>
        <v>0</v>
      </c>
      <c r="D9" s="3">
        <f t="shared" si="4"/>
        <v>0</v>
      </c>
      <c r="E9" s="3">
        <f t="shared" si="4"/>
        <v>0</v>
      </c>
      <c r="F9" s="4">
        <v>0</v>
      </c>
      <c r="G9" s="3">
        <f t="shared" si="5"/>
        <v>1.5</v>
      </c>
      <c r="H9" s="4">
        <f t="shared" si="6"/>
        <v>0</v>
      </c>
      <c r="I9" s="13">
        <f t="shared" si="7"/>
        <v>0</v>
      </c>
      <c r="J9" s="13">
        <f t="shared" si="8"/>
        <v>0</v>
      </c>
      <c r="K9" s="13">
        <f t="shared" si="9"/>
        <v>0</v>
      </c>
      <c r="L9" s="13">
        <f t="shared" si="10"/>
        <v>0</v>
      </c>
      <c r="M9" s="13">
        <f t="shared" si="11"/>
        <v>0</v>
      </c>
      <c r="O9" s="6">
        <f t="shared" si="12"/>
        <v>0</v>
      </c>
      <c r="T9" t="str">
        <f t="shared" si="14"/>
        <v>EImports</v>
      </c>
      <c r="U9" s="1" t="s">
        <v>480</v>
      </c>
      <c r="V9" s="1" t="str">
        <f t="shared" si="0"/>
        <v>FLAB-P</v>
      </c>
      <c r="W9" s="1" t="s">
        <v>484</v>
      </c>
      <c r="X9">
        <v>3</v>
      </c>
      <c r="Y9">
        <f t="shared" si="13"/>
        <v>0</v>
      </c>
      <c r="AB9" t="str">
        <f t="shared" si="15"/>
        <v>EImports</v>
      </c>
      <c r="AC9" s="1" t="s">
        <v>480</v>
      </c>
      <c r="AD9" s="1" t="str">
        <f t="shared" si="1"/>
        <v>FLAB-M</v>
      </c>
      <c r="AE9" s="1" t="s">
        <v>484</v>
      </c>
      <c r="AF9">
        <v>3</v>
      </c>
      <c r="AG9">
        <f t="shared" si="16"/>
        <v>0</v>
      </c>
      <c r="AJ9" t="str">
        <f t="shared" si="17"/>
        <v>EImports</v>
      </c>
      <c r="AK9" s="1" t="s">
        <v>480</v>
      </c>
      <c r="AL9" s="1" t="str">
        <f t="shared" si="2"/>
        <v>FLAB-S</v>
      </c>
      <c r="AM9" s="1" t="s">
        <v>484</v>
      </c>
      <c r="AN9">
        <v>3</v>
      </c>
      <c r="AO9">
        <f t="shared" si="18"/>
        <v>0</v>
      </c>
      <c r="AR9" t="str">
        <f t="shared" si="19"/>
        <v>EImports</v>
      </c>
      <c r="AS9" s="1" t="s">
        <v>480</v>
      </c>
      <c r="AT9" s="1" t="str">
        <f t="shared" si="3"/>
        <v>FLAB-T</v>
      </c>
      <c r="AU9" s="1" t="s">
        <v>484</v>
      </c>
      <c r="AV9">
        <v>3</v>
      </c>
      <c r="AW9">
        <f t="shared" si="20"/>
        <v>0</v>
      </c>
    </row>
    <row r="10" spans="1:50" x14ac:dyDescent="0.25">
      <c r="A10" s="3" t="s">
        <v>54</v>
      </c>
      <c r="B10" s="3">
        <f t="shared" si="4"/>
        <v>1.941E-2</v>
      </c>
      <c r="C10" s="3">
        <f t="shared" si="4"/>
        <v>2.2089999999999999E-2</v>
      </c>
      <c r="D10" s="3">
        <f t="shared" si="4"/>
        <v>7.3090000000000002E-2</v>
      </c>
      <c r="E10" s="3">
        <f t="shared" si="4"/>
        <v>0.26167000000000001</v>
      </c>
      <c r="F10" s="4">
        <f>L56/1000</f>
        <v>0.37626180068603343</v>
      </c>
      <c r="G10" s="3">
        <f t="shared" si="5"/>
        <v>0</v>
      </c>
      <c r="H10" s="4">
        <f t="shared" si="6"/>
        <v>0</v>
      </c>
      <c r="I10" s="13">
        <f t="shared" si="7"/>
        <v>0</v>
      </c>
      <c r="J10" s="13">
        <f t="shared" si="8"/>
        <v>0</v>
      </c>
      <c r="K10" s="13">
        <f t="shared" si="9"/>
        <v>0</v>
      </c>
      <c r="L10" s="13">
        <f t="shared" si="10"/>
        <v>0</v>
      </c>
      <c r="M10" s="13">
        <f t="shared" si="11"/>
        <v>0</v>
      </c>
      <c r="O10" s="6">
        <f t="shared" si="12"/>
        <v>120.84652498999999</v>
      </c>
      <c r="P10" s="3">
        <v>256</v>
      </c>
      <c r="T10" t="str">
        <f t="shared" si="14"/>
        <v>EPV_Grid</v>
      </c>
      <c r="U10" s="1" t="s">
        <v>480</v>
      </c>
      <c r="V10" s="1" t="str">
        <f t="shared" si="0"/>
        <v>FLAB-P</v>
      </c>
      <c r="W10" s="1" t="s">
        <v>484</v>
      </c>
      <c r="X10">
        <v>3</v>
      </c>
      <c r="Y10">
        <f t="shared" si="13"/>
        <v>1.941E-2</v>
      </c>
      <c r="AB10" t="str">
        <f t="shared" si="15"/>
        <v>EPV_Grid</v>
      </c>
      <c r="AC10" s="1" t="s">
        <v>480</v>
      </c>
      <c r="AD10" s="1" t="str">
        <f t="shared" si="1"/>
        <v>FLAB-M</v>
      </c>
      <c r="AE10" s="1" t="s">
        <v>484</v>
      </c>
      <c r="AF10">
        <v>3</v>
      </c>
      <c r="AG10">
        <f t="shared" si="16"/>
        <v>2.2089999999999999E-2</v>
      </c>
      <c r="AJ10" t="str">
        <f t="shared" si="17"/>
        <v>EPV_Grid</v>
      </c>
      <c r="AK10" s="1" t="s">
        <v>480</v>
      </c>
      <c r="AL10" s="1" t="str">
        <f t="shared" si="2"/>
        <v>FLAB-S</v>
      </c>
      <c r="AM10" s="1" t="s">
        <v>484</v>
      </c>
      <c r="AN10">
        <v>3</v>
      </c>
      <c r="AO10">
        <f t="shared" si="18"/>
        <v>7.3090000000000002E-2</v>
      </c>
      <c r="AR10" t="str">
        <f t="shared" si="19"/>
        <v>EPV_Grid</v>
      </c>
      <c r="AS10" s="1" t="s">
        <v>480</v>
      </c>
      <c r="AT10" s="1" t="str">
        <f t="shared" si="3"/>
        <v>FLAB-T</v>
      </c>
      <c r="AU10" s="1" t="s">
        <v>484</v>
      </c>
      <c r="AV10">
        <v>3</v>
      </c>
      <c r="AW10">
        <f t="shared" si="20"/>
        <v>0.26167000000000001</v>
      </c>
    </row>
    <row r="11" spans="1:50" x14ac:dyDescent="0.25">
      <c r="A11" s="460" t="s">
        <v>499</v>
      </c>
      <c r="B11" s="3">
        <f t="shared" si="4"/>
        <v>1.941E-2</v>
      </c>
      <c r="C11" s="3">
        <f t="shared" si="4"/>
        <v>2.2089999999999999E-2</v>
      </c>
      <c r="D11" s="3">
        <f t="shared" si="4"/>
        <v>7.3090000000000002E-2</v>
      </c>
      <c r="E11" s="3">
        <f t="shared" si="4"/>
        <v>0.26167000000000001</v>
      </c>
      <c r="F11" s="4">
        <f>F10</f>
        <v>0.37626180068603343</v>
      </c>
      <c r="G11" s="3">
        <f t="shared" si="5"/>
        <v>0</v>
      </c>
      <c r="H11" s="4">
        <f t="shared" si="6"/>
        <v>0</v>
      </c>
      <c r="I11" s="13">
        <f t="shared" si="7"/>
        <v>0</v>
      </c>
      <c r="J11" s="13">
        <f t="shared" si="8"/>
        <v>0</v>
      </c>
      <c r="K11" s="13">
        <f t="shared" si="9"/>
        <v>0</v>
      </c>
      <c r="L11" s="13">
        <f t="shared" si="10"/>
        <v>0</v>
      </c>
      <c r="M11" s="13">
        <f t="shared" si="11"/>
        <v>0</v>
      </c>
      <c r="O11" s="6">
        <f t="shared" si="12"/>
        <v>120.84652498999999</v>
      </c>
      <c r="P11" s="3">
        <v>299</v>
      </c>
      <c r="T11" t="str">
        <f t="shared" si="14"/>
        <v>EPV_RfTp</v>
      </c>
      <c r="U11" s="1" t="s">
        <v>480</v>
      </c>
      <c r="V11" s="1" t="str">
        <f t="shared" si="0"/>
        <v>FLAB-P</v>
      </c>
      <c r="W11" s="1" t="s">
        <v>484</v>
      </c>
      <c r="X11">
        <v>3</v>
      </c>
      <c r="Y11">
        <f t="shared" si="13"/>
        <v>1.941E-2</v>
      </c>
      <c r="AB11" t="str">
        <f t="shared" si="15"/>
        <v>EPV_RfTp</v>
      </c>
      <c r="AC11" s="1" t="s">
        <v>480</v>
      </c>
      <c r="AD11" s="1" t="str">
        <f t="shared" si="1"/>
        <v>FLAB-M</v>
      </c>
      <c r="AE11" s="1" t="s">
        <v>484</v>
      </c>
      <c r="AF11">
        <v>3</v>
      </c>
      <c r="AG11">
        <f t="shared" si="16"/>
        <v>2.2089999999999999E-2</v>
      </c>
      <c r="AJ11" t="str">
        <f t="shared" si="17"/>
        <v>EPV_RfTp</v>
      </c>
      <c r="AK11" s="1" t="s">
        <v>480</v>
      </c>
      <c r="AL11" s="1" t="str">
        <f t="shared" si="2"/>
        <v>FLAB-S</v>
      </c>
      <c r="AM11" s="1" t="s">
        <v>484</v>
      </c>
      <c r="AN11">
        <v>3</v>
      </c>
      <c r="AO11">
        <f t="shared" si="18"/>
        <v>7.3090000000000002E-2</v>
      </c>
      <c r="AR11" t="str">
        <f t="shared" si="19"/>
        <v>EPV_RfTp</v>
      </c>
      <c r="AS11" s="1" t="s">
        <v>480</v>
      </c>
      <c r="AT11" s="1" t="str">
        <f t="shared" si="3"/>
        <v>FLAB-T</v>
      </c>
      <c r="AU11" s="1" t="s">
        <v>484</v>
      </c>
      <c r="AV11">
        <v>3</v>
      </c>
      <c r="AW11">
        <f t="shared" si="20"/>
        <v>0.26167000000000001</v>
      </c>
    </row>
    <row r="12" spans="1:50" x14ac:dyDescent="0.25">
      <c r="A12" s="3" t="s">
        <v>50</v>
      </c>
      <c r="B12" s="3">
        <f t="shared" si="4"/>
        <v>2.3769999999999999E-2</v>
      </c>
      <c r="C12" s="3">
        <f t="shared" si="4"/>
        <v>2.7050000000000001E-2</v>
      </c>
      <c r="D12" s="3">
        <f t="shared" si="4"/>
        <v>8.949E-2</v>
      </c>
      <c r="E12" s="3">
        <f t="shared" si="4"/>
        <v>0.32040000000000002</v>
      </c>
      <c r="F12" s="4">
        <f>L58/1000</f>
        <v>0.46070370370370367</v>
      </c>
      <c r="G12" s="3">
        <f t="shared" si="5"/>
        <v>0</v>
      </c>
      <c r="H12" s="4">
        <f t="shared" si="6"/>
        <v>0</v>
      </c>
      <c r="I12" s="13">
        <f t="shared" si="7"/>
        <v>0</v>
      </c>
      <c r="J12" s="13">
        <f t="shared" si="8"/>
        <v>0</v>
      </c>
      <c r="K12" s="13">
        <f t="shared" si="9"/>
        <v>0</v>
      </c>
      <c r="L12" s="13">
        <f t="shared" si="10"/>
        <v>0</v>
      </c>
      <c r="M12" s="13">
        <f t="shared" si="11"/>
        <v>0</v>
      </c>
      <c r="O12" s="6">
        <f t="shared" si="12"/>
        <v>147.96951899000001</v>
      </c>
      <c r="P12" s="3">
        <v>869</v>
      </c>
      <c r="T12" t="str">
        <f t="shared" si="14"/>
        <v>ECSP</v>
      </c>
      <c r="U12" s="1" t="s">
        <v>480</v>
      </c>
      <c r="V12" s="1" t="str">
        <f t="shared" si="0"/>
        <v>FLAB-P</v>
      </c>
      <c r="W12" s="1" t="s">
        <v>484</v>
      </c>
      <c r="X12">
        <v>3</v>
      </c>
      <c r="Y12">
        <f t="shared" si="13"/>
        <v>2.3769999999999999E-2</v>
      </c>
      <c r="AB12" t="str">
        <f t="shared" si="15"/>
        <v>ECSP</v>
      </c>
      <c r="AC12" s="1" t="s">
        <v>480</v>
      </c>
      <c r="AD12" s="1" t="str">
        <f t="shared" si="1"/>
        <v>FLAB-M</v>
      </c>
      <c r="AE12" s="1" t="s">
        <v>484</v>
      </c>
      <c r="AF12">
        <v>3</v>
      </c>
      <c r="AG12">
        <f t="shared" si="16"/>
        <v>2.7050000000000001E-2</v>
      </c>
      <c r="AJ12" t="str">
        <f t="shared" si="17"/>
        <v>ECSP</v>
      </c>
      <c r="AK12" s="1" t="s">
        <v>480</v>
      </c>
      <c r="AL12" s="1" t="str">
        <f t="shared" si="2"/>
        <v>FLAB-S</v>
      </c>
      <c r="AM12" s="1" t="s">
        <v>484</v>
      </c>
      <c r="AN12">
        <v>3</v>
      </c>
      <c r="AO12">
        <f t="shared" si="18"/>
        <v>8.949E-2</v>
      </c>
      <c r="AR12" t="str">
        <f t="shared" si="19"/>
        <v>ECSP</v>
      </c>
      <c r="AS12" s="1" t="s">
        <v>480</v>
      </c>
      <c r="AT12" s="1" t="str">
        <f t="shared" si="3"/>
        <v>FLAB-T</v>
      </c>
      <c r="AU12" s="1" t="s">
        <v>484</v>
      </c>
      <c r="AV12">
        <v>3</v>
      </c>
      <c r="AW12">
        <f t="shared" si="20"/>
        <v>0.32040000000000002</v>
      </c>
    </row>
    <row r="13" spans="1:50" x14ac:dyDescent="0.25">
      <c r="A13" s="3" t="s">
        <v>49</v>
      </c>
      <c r="B13" s="3">
        <f t="shared" si="4"/>
        <v>1.6049999999999998E-2</v>
      </c>
      <c r="C13" s="3">
        <f t="shared" si="4"/>
        <v>1.8259999999999998E-2</v>
      </c>
      <c r="D13" s="3">
        <f t="shared" si="4"/>
        <v>6.0429999999999998E-2</v>
      </c>
      <c r="E13" s="3">
        <f t="shared" si="4"/>
        <v>0.21634</v>
      </c>
      <c r="F13" s="4">
        <f>L57/1000</f>
        <v>0.31108281387244646</v>
      </c>
      <c r="G13" s="3">
        <f t="shared" si="5"/>
        <v>0</v>
      </c>
      <c r="H13" s="4">
        <f t="shared" si="6"/>
        <v>0</v>
      </c>
      <c r="I13" s="13">
        <f t="shared" si="7"/>
        <v>0</v>
      </c>
      <c r="J13" s="13">
        <f t="shared" si="8"/>
        <v>0</v>
      </c>
      <c r="K13" s="13">
        <f t="shared" si="9"/>
        <v>0</v>
      </c>
      <c r="L13" s="13">
        <f t="shared" si="10"/>
        <v>0</v>
      </c>
      <c r="M13" s="13">
        <f t="shared" si="11"/>
        <v>0</v>
      </c>
      <c r="O13" s="6">
        <f t="shared" si="12"/>
        <v>99.912047849999993</v>
      </c>
      <c r="P13" s="3">
        <v>554</v>
      </c>
      <c r="T13" t="str">
        <f t="shared" si="14"/>
        <v>EWind</v>
      </c>
      <c r="U13" s="1" t="s">
        <v>480</v>
      </c>
      <c r="V13" s="1" t="str">
        <f t="shared" si="0"/>
        <v>FLAB-P</v>
      </c>
      <c r="W13" s="1" t="s">
        <v>484</v>
      </c>
      <c r="X13">
        <v>3</v>
      </c>
      <c r="Y13">
        <f t="shared" si="13"/>
        <v>1.6049999999999998E-2</v>
      </c>
      <c r="AB13" t="str">
        <f t="shared" si="15"/>
        <v>EWind</v>
      </c>
      <c r="AC13" s="1" t="s">
        <v>480</v>
      </c>
      <c r="AD13" s="1" t="str">
        <f t="shared" si="1"/>
        <v>FLAB-M</v>
      </c>
      <c r="AE13" s="1" t="s">
        <v>484</v>
      </c>
      <c r="AF13">
        <v>3</v>
      </c>
      <c r="AG13">
        <f t="shared" si="16"/>
        <v>1.8259999999999998E-2</v>
      </c>
      <c r="AJ13" t="str">
        <f t="shared" si="17"/>
        <v>EWind</v>
      </c>
      <c r="AK13" s="1" t="s">
        <v>480</v>
      </c>
      <c r="AL13" s="1" t="str">
        <f t="shared" si="2"/>
        <v>FLAB-S</v>
      </c>
      <c r="AM13" s="1" t="s">
        <v>484</v>
      </c>
      <c r="AN13">
        <v>3</v>
      </c>
      <c r="AO13">
        <f t="shared" si="18"/>
        <v>6.0429999999999998E-2</v>
      </c>
      <c r="AR13" t="str">
        <f t="shared" si="19"/>
        <v>EWind</v>
      </c>
      <c r="AS13" s="1" t="s">
        <v>480</v>
      </c>
      <c r="AT13" s="1" t="str">
        <f t="shared" si="3"/>
        <v>FLAB-T</v>
      </c>
      <c r="AU13" s="1" t="s">
        <v>484</v>
      </c>
      <c r="AV13">
        <v>3</v>
      </c>
      <c r="AW13">
        <f t="shared" si="20"/>
        <v>0.21634</v>
      </c>
    </row>
    <row r="14" spans="1:50" x14ac:dyDescent="0.25">
      <c r="A14" s="461" t="s">
        <v>1335</v>
      </c>
      <c r="B14" s="3">
        <f t="shared" si="4"/>
        <v>1.72E-2</v>
      </c>
      <c r="C14" s="3">
        <f t="shared" si="4"/>
        <v>1.958E-2</v>
      </c>
      <c r="D14" s="3">
        <f t="shared" si="4"/>
        <v>6.4769999999999994E-2</v>
      </c>
      <c r="E14" s="3">
        <f t="shared" si="4"/>
        <v>0.23189000000000001</v>
      </c>
      <c r="F14" s="32">
        <f>F16</f>
        <v>0.33344431232659533</v>
      </c>
      <c r="G14" s="3">
        <f t="shared" si="5"/>
        <v>0</v>
      </c>
      <c r="H14" s="4">
        <f t="shared" si="6"/>
        <v>0</v>
      </c>
      <c r="I14" s="13">
        <f t="shared" si="7"/>
        <v>0</v>
      </c>
      <c r="J14" s="13">
        <f t="shared" si="8"/>
        <v>0</v>
      </c>
      <c r="K14" s="13">
        <f t="shared" si="9"/>
        <v>0</v>
      </c>
      <c r="L14" s="13">
        <f t="shared" si="10"/>
        <v>0</v>
      </c>
      <c r="M14" s="13">
        <f t="shared" si="11"/>
        <v>0</v>
      </c>
      <c r="O14" s="6">
        <f t="shared" si="12"/>
        <v>107.09331625999999</v>
      </c>
      <c r="T14" t="str">
        <f t="shared" si="14"/>
        <v>Ebattery_Utility</v>
      </c>
      <c r="U14" s="1" t="s">
        <v>480</v>
      </c>
      <c r="V14" s="1" t="str">
        <f t="shared" si="0"/>
        <v>FLAB-P</v>
      </c>
      <c r="W14" s="1" t="s">
        <v>484</v>
      </c>
      <c r="X14">
        <v>3</v>
      </c>
      <c r="Y14">
        <f t="shared" si="13"/>
        <v>1.72E-2</v>
      </c>
      <c r="AB14" t="str">
        <f t="shared" si="15"/>
        <v>Ebattery_Utility</v>
      </c>
      <c r="AC14" s="1" t="s">
        <v>480</v>
      </c>
      <c r="AD14" s="1" t="str">
        <f t="shared" si="1"/>
        <v>FLAB-M</v>
      </c>
      <c r="AE14" s="1" t="s">
        <v>484</v>
      </c>
      <c r="AF14">
        <v>3</v>
      </c>
      <c r="AG14">
        <f t="shared" si="16"/>
        <v>1.958E-2</v>
      </c>
      <c r="AJ14" t="str">
        <f t="shared" si="17"/>
        <v>Ebattery_Utility</v>
      </c>
      <c r="AK14" s="1" t="s">
        <v>480</v>
      </c>
      <c r="AL14" s="1" t="str">
        <f t="shared" si="2"/>
        <v>FLAB-S</v>
      </c>
      <c r="AM14" s="1" t="s">
        <v>484</v>
      </c>
      <c r="AN14">
        <v>3</v>
      </c>
      <c r="AO14">
        <f t="shared" si="18"/>
        <v>6.4769999999999994E-2</v>
      </c>
      <c r="AR14" t="str">
        <f t="shared" si="19"/>
        <v>Ebattery_Utility</v>
      </c>
      <c r="AS14" s="1" t="s">
        <v>480</v>
      </c>
      <c r="AT14" s="1" t="str">
        <f t="shared" si="3"/>
        <v>FLAB-T</v>
      </c>
      <c r="AU14" s="1" t="s">
        <v>484</v>
      </c>
      <c r="AV14">
        <v>3</v>
      </c>
      <c r="AW14">
        <f t="shared" si="20"/>
        <v>0.23189000000000001</v>
      </c>
    </row>
    <row r="15" spans="1:50" x14ac:dyDescent="0.25">
      <c r="A15" s="60" t="s">
        <v>483</v>
      </c>
      <c r="B15" s="3">
        <f t="shared" si="4"/>
        <v>1.72E-2</v>
      </c>
      <c r="C15" s="3">
        <f t="shared" si="4"/>
        <v>1.958E-2</v>
      </c>
      <c r="D15" s="3">
        <f t="shared" si="4"/>
        <v>6.4769999999999994E-2</v>
      </c>
      <c r="E15" s="3">
        <f t="shared" si="4"/>
        <v>0.23189000000000001</v>
      </c>
      <c r="F15" s="4">
        <f>Z75/1000</f>
        <v>0.33344431232659533</v>
      </c>
      <c r="G15" s="3">
        <f t="shared" si="5"/>
        <v>36.92</v>
      </c>
      <c r="H15" s="4">
        <f t="shared" si="6"/>
        <v>12.3107640110979</v>
      </c>
      <c r="I15" s="13">
        <f t="shared" si="7"/>
        <v>69.86470545600001</v>
      </c>
      <c r="J15" s="13">
        <f t="shared" si="8"/>
        <v>81.506253400000006</v>
      </c>
      <c r="K15" s="13">
        <f t="shared" si="9"/>
        <v>414.16026702959994</v>
      </c>
      <c r="L15" s="13">
        <f t="shared" si="10"/>
        <v>3388.3540104336007</v>
      </c>
      <c r="M15" s="13">
        <f t="shared" si="11"/>
        <v>3953.8852363192009</v>
      </c>
      <c r="O15" s="6">
        <f t="shared" si="12"/>
        <v>107.09331625999999</v>
      </c>
      <c r="P15" s="3">
        <v>336</v>
      </c>
      <c r="T15" t="str">
        <f t="shared" si="14"/>
        <v>Ecoal</v>
      </c>
      <c r="U15" s="1" t="s">
        <v>480</v>
      </c>
      <c r="V15" s="1" t="str">
        <f t="shared" si="0"/>
        <v>FLAB-P</v>
      </c>
      <c r="W15" s="1" t="s">
        <v>484</v>
      </c>
      <c r="X15">
        <v>3</v>
      </c>
      <c r="Y15">
        <f t="shared" si="13"/>
        <v>1.72E-2</v>
      </c>
      <c r="AB15" t="str">
        <f t="shared" si="15"/>
        <v>Ecoal</v>
      </c>
      <c r="AC15" s="1" t="s">
        <v>480</v>
      </c>
      <c r="AD15" s="1" t="str">
        <f t="shared" si="1"/>
        <v>FLAB-M</v>
      </c>
      <c r="AE15" s="1" t="s">
        <v>484</v>
      </c>
      <c r="AF15">
        <v>3</v>
      </c>
      <c r="AG15">
        <f t="shared" si="16"/>
        <v>1.958E-2</v>
      </c>
      <c r="AJ15" t="str">
        <f t="shared" si="17"/>
        <v>Ecoal</v>
      </c>
      <c r="AK15" s="1" t="s">
        <v>480</v>
      </c>
      <c r="AL15" s="1" t="str">
        <f t="shared" si="2"/>
        <v>FLAB-S</v>
      </c>
      <c r="AM15" s="1" t="s">
        <v>484</v>
      </c>
      <c r="AN15">
        <v>3</v>
      </c>
      <c r="AO15">
        <f t="shared" si="18"/>
        <v>6.4769999999999994E-2</v>
      </c>
      <c r="AR15" t="str">
        <f t="shared" si="19"/>
        <v>Ecoal</v>
      </c>
      <c r="AS15" s="1" t="s">
        <v>480</v>
      </c>
      <c r="AT15" s="1" t="str">
        <f t="shared" si="3"/>
        <v>FLAB-T</v>
      </c>
      <c r="AU15" s="1" t="s">
        <v>484</v>
      </c>
      <c r="AV15">
        <v>3</v>
      </c>
      <c r="AW15">
        <f t="shared" si="20"/>
        <v>0.23189000000000001</v>
      </c>
    </row>
    <row r="16" spans="1:50" x14ac:dyDescent="0.25">
      <c r="A16" s="3" t="s">
        <v>30</v>
      </c>
      <c r="B16" s="3">
        <f t="shared" si="4"/>
        <v>1.72E-2</v>
      </c>
      <c r="C16" s="3">
        <f t="shared" si="4"/>
        <v>1.958E-2</v>
      </c>
      <c r="D16" s="3">
        <f t="shared" si="4"/>
        <v>6.4769999999999994E-2</v>
      </c>
      <c r="E16" s="3">
        <f t="shared" si="4"/>
        <v>0.23189000000000001</v>
      </c>
      <c r="F16" s="4">
        <f>F15</f>
        <v>0.33344431232659533</v>
      </c>
      <c r="G16" s="3">
        <f t="shared" si="5"/>
        <v>0.42</v>
      </c>
      <c r="H16" s="4">
        <f t="shared" si="6"/>
        <v>0.14004661117717004</v>
      </c>
      <c r="I16" s="13">
        <f t="shared" si="7"/>
        <v>0.79477725599999993</v>
      </c>
      <c r="J16" s="13">
        <f t="shared" si="8"/>
        <v>0.92721089999999995</v>
      </c>
      <c r="K16" s="13">
        <f t="shared" si="9"/>
        <v>4.7114656595999991</v>
      </c>
      <c r="L16" s="13">
        <f t="shared" si="10"/>
        <v>38.545739013599999</v>
      </c>
      <c r="M16" s="13">
        <f t="shared" si="11"/>
        <v>44.979192829199995</v>
      </c>
      <c r="O16" s="6">
        <f t="shared" si="12"/>
        <v>107.09331625999999</v>
      </c>
      <c r="P16" s="3">
        <v>150</v>
      </c>
      <c r="T16" t="str">
        <f t="shared" si="14"/>
        <v>EGas</v>
      </c>
      <c r="U16" s="1" t="s">
        <v>480</v>
      </c>
      <c r="V16" s="1" t="str">
        <f t="shared" si="0"/>
        <v>FLAB-P</v>
      </c>
      <c r="W16" s="1" t="s">
        <v>484</v>
      </c>
      <c r="X16">
        <v>3</v>
      </c>
      <c r="Y16">
        <f t="shared" si="13"/>
        <v>1.72E-2</v>
      </c>
      <c r="AB16" t="str">
        <f t="shared" si="15"/>
        <v>EGas</v>
      </c>
      <c r="AC16" s="1" t="s">
        <v>480</v>
      </c>
      <c r="AD16" s="1" t="str">
        <f t="shared" si="1"/>
        <v>FLAB-M</v>
      </c>
      <c r="AE16" s="1" t="s">
        <v>484</v>
      </c>
      <c r="AF16">
        <v>3</v>
      </c>
      <c r="AG16">
        <f t="shared" si="16"/>
        <v>1.958E-2</v>
      </c>
      <c r="AJ16" t="str">
        <f t="shared" si="17"/>
        <v>EGas</v>
      </c>
      <c r="AK16" s="1" t="s">
        <v>480</v>
      </c>
      <c r="AL16" s="1" t="str">
        <f t="shared" si="2"/>
        <v>FLAB-S</v>
      </c>
      <c r="AM16" s="1" t="s">
        <v>484</v>
      </c>
      <c r="AN16">
        <v>3</v>
      </c>
      <c r="AO16">
        <f t="shared" si="18"/>
        <v>6.4769999999999994E-2</v>
      </c>
      <c r="AR16" t="str">
        <f t="shared" si="19"/>
        <v>EGas</v>
      </c>
      <c r="AS16" s="1" t="s">
        <v>480</v>
      </c>
      <c r="AT16" s="1" t="str">
        <f t="shared" si="3"/>
        <v>FLAB-T</v>
      </c>
      <c r="AU16" s="1" t="s">
        <v>484</v>
      </c>
      <c r="AV16">
        <v>3</v>
      </c>
      <c r="AW16">
        <f t="shared" si="20"/>
        <v>0.23189000000000001</v>
      </c>
    </row>
    <row r="17" spans="1:49" x14ac:dyDescent="0.25">
      <c r="A17" s="3" t="s">
        <v>28</v>
      </c>
      <c r="B17" s="3">
        <f t="shared" si="4"/>
        <v>3.3279999999999997E-2</v>
      </c>
      <c r="C17" s="3">
        <f t="shared" si="4"/>
        <v>3.7879999999999997E-2</v>
      </c>
      <c r="D17" s="3">
        <f t="shared" si="4"/>
        <v>0.12533</v>
      </c>
      <c r="E17" s="3">
        <f t="shared" si="4"/>
        <v>0.44868000000000002</v>
      </c>
      <c r="F17" s="4">
        <f>Z69/1000</f>
        <v>0.64516129032258063</v>
      </c>
      <c r="G17" s="3">
        <f t="shared" si="5"/>
        <v>1.86</v>
      </c>
      <c r="H17" s="4">
        <f t="shared" si="6"/>
        <v>1.2</v>
      </c>
      <c r="I17" s="13">
        <f t="shared" si="7"/>
        <v>6.8102641151999999</v>
      </c>
      <c r="J17" s="13">
        <f t="shared" si="8"/>
        <v>7.9440042000000002</v>
      </c>
      <c r="K17" s="13">
        <f t="shared" si="9"/>
        <v>40.373911477199997</v>
      </c>
      <c r="L17" s="13">
        <f t="shared" si="10"/>
        <v>330.2894645856</v>
      </c>
      <c r="M17" s="13">
        <f t="shared" si="11"/>
        <v>385.41764437799998</v>
      </c>
      <c r="O17" s="6">
        <f t="shared" si="12"/>
        <v>207.21378730000001</v>
      </c>
      <c r="P17" s="3">
        <v>885</v>
      </c>
      <c r="T17" t="str">
        <f t="shared" si="14"/>
        <v>ENuclear</v>
      </c>
      <c r="U17" s="1" t="s">
        <v>480</v>
      </c>
      <c r="V17" s="1" t="str">
        <f t="shared" si="0"/>
        <v>FLAB-P</v>
      </c>
      <c r="W17" s="1" t="s">
        <v>484</v>
      </c>
      <c r="X17">
        <v>3</v>
      </c>
      <c r="Y17">
        <f t="shared" si="13"/>
        <v>3.3279999999999997E-2</v>
      </c>
      <c r="AB17" t="str">
        <f t="shared" si="15"/>
        <v>ENuclear</v>
      </c>
      <c r="AC17" s="1" t="s">
        <v>480</v>
      </c>
      <c r="AD17" s="1" t="str">
        <f t="shared" si="1"/>
        <v>FLAB-M</v>
      </c>
      <c r="AE17" s="1" t="s">
        <v>484</v>
      </c>
      <c r="AF17">
        <v>3</v>
      </c>
      <c r="AG17">
        <f t="shared" si="16"/>
        <v>3.7879999999999997E-2</v>
      </c>
      <c r="AJ17" t="str">
        <f t="shared" si="17"/>
        <v>ENuclear</v>
      </c>
      <c r="AK17" s="1" t="s">
        <v>480</v>
      </c>
      <c r="AL17" s="1" t="str">
        <f t="shared" si="2"/>
        <v>FLAB-S</v>
      </c>
      <c r="AM17" s="1" t="s">
        <v>484</v>
      </c>
      <c r="AN17">
        <v>3</v>
      </c>
      <c r="AO17">
        <f t="shared" si="18"/>
        <v>0.12533</v>
      </c>
      <c r="AR17" t="str">
        <f t="shared" si="19"/>
        <v>ENuclear</v>
      </c>
      <c r="AS17" s="1" t="s">
        <v>480</v>
      </c>
      <c r="AT17" s="1" t="str">
        <f t="shared" si="3"/>
        <v>FLAB-T</v>
      </c>
      <c r="AU17" s="1" t="s">
        <v>484</v>
      </c>
      <c r="AV17">
        <v>3</v>
      </c>
      <c r="AW17">
        <f t="shared" si="20"/>
        <v>0.44868000000000002</v>
      </c>
    </row>
    <row r="18" spans="1:49" x14ac:dyDescent="0.25">
      <c r="A18" s="3" t="s">
        <v>26</v>
      </c>
      <c r="B18" s="3">
        <f t="shared" si="4"/>
        <v>1.72E-2</v>
      </c>
      <c r="C18" s="3">
        <f t="shared" si="4"/>
        <v>1.958E-2</v>
      </c>
      <c r="D18" s="3">
        <f t="shared" si="4"/>
        <v>6.4769999999999994E-2</v>
      </c>
      <c r="E18" s="3">
        <f t="shared" si="4"/>
        <v>0.23189000000000001</v>
      </c>
      <c r="F18" s="4">
        <f>F16</f>
        <v>0.33344431232659533</v>
      </c>
      <c r="G18" s="3">
        <f t="shared" si="5"/>
        <v>2.46</v>
      </c>
      <c r="H18" s="4">
        <f t="shared" si="6"/>
        <v>0.82027300832342454</v>
      </c>
      <c r="I18" s="13">
        <f t="shared" si="7"/>
        <v>4.6551239280000001</v>
      </c>
      <c r="J18" s="13">
        <f t="shared" si="8"/>
        <v>5.4308067000000007</v>
      </c>
      <c r="K18" s="13">
        <f t="shared" si="9"/>
        <v>27.595727434799993</v>
      </c>
      <c r="L18" s="13">
        <f t="shared" si="10"/>
        <v>225.76789993680001</v>
      </c>
      <c r="M18" s="13">
        <f t="shared" si="11"/>
        <v>263.44955799960002</v>
      </c>
      <c r="O18" s="6">
        <f t="shared" si="12"/>
        <v>107.09331625999999</v>
      </c>
      <c r="P18" s="3">
        <v>58</v>
      </c>
      <c r="T18" t="str">
        <f t="shared" si="14"/>
        <v>EOil</v>
      </c>
      <c r="U18" s="1" t="s">
        <v>480</v>
      </c>
      <c r="V18" s="1" t="str">
        <f t="shared" si="0"/>
        <v>FLAB-P</v>
      </c>
      <c r="W18" s="1" t="s">
        <v>484</v>
      </c>
      <c r="X18">
        <v>3</v>
      </c>
      <c r="Y18">
        <f t="shared" si="13"/>
        <v>1.72E-2</v>
      </c>
      <c r="AB18" t="str">
        <f t="shared" si="15"/>
        <v>EOil</v>
      </c>
      <c r="AC18" s="1" t="s">
        <v>480</v>
      </c>
      <c r="AD18" s="1" t="str">
        <f t="shared" si="1"/>
        <v>FLAB-M</v>
      </c>
      <c r="AE18" s="1" t="s">
        <v>484</v>
      </c>
      <c r="AF18">
        <v>3</v>
      </c>
      <c r="AG18">
        <f t="shared" si="16"/>
        <v>1.958E-2</v>
      </c>
      <c r="AJ18" t="str">
        <f t="shared" si="17"/>
        <v>EOil</v>
      </c>
      <c r="AK18" s="1" t="s">
        <v>480</v>
      </c>
      <c r="AL18" s="1" t="str">
        <f t="shared" si="2"/>
        <v>FLAB-S</v>
      </c>
      <c r="AM18" s="1" t="s">
        <v>484</v>
      </c>
      <c r="AN18">
        <v>3</v>
      </c>
      <c r="AO18">
        <f t="shared" si="18"/>
        <v>6.4769999999999994E-2</v>
      </c>
      <c r="AR18" t="str">
        <f t="shared" si="19"/>
        <v>EOil</v>
      </c>
      <c r="AS18" s="1" t="s">
        <v>480</v>
      </c>
      <c r="AT18" s="1" t="str">
        <f t="shared" si="3"/>
        <v>FLAB-T</v>
      </c>
      <c r="AU18" s="1" t="s">
        <v>484</v>
      </c>
      <c r="AV18">
        <v>3</v>
      </c>
      <c r="AW18">
        <f t="shared" si="20"/>
        <v>0.23189000000000001</v>
      </c>
    </row>
    <row r="19" spans="1:49" x14ac:dyDescent="0.25">
      <c r="A19" s="3" t="s">
        <v>211</v>
      </c>
      <c r="B19" s="3">
        <f t="shared" ref="B19:E24" si="21">ROUND(B$5*$F19,5)</f>
        <v>1.474E-2</v>
      </c>
      <c r="C19" s="31">
        <f t="shared" si="21"/>
        <v>1.678E-2</v>
      </c>
      <c r="D19" s="3">
        <f t="shared" si="21"/>
        <v>5.5509999999999997E-2</v>
      </c>
      <c r="E19" s="3">
        <f t="shared" si="21"/>
        <v>0.19872999999999999</v>
      </c>
      <c r="F19" s="30">
        <f>H106</f>
        <v>0.28576111111111124</v>
      </c>
      <c r="G19" s="3">
        <f>H104</f>
        <v>34.200000000000003</v>
      </c>
      <c r="H19" s="29">
        <f>G19*F19</f>
        <v>9.7730300000000057</v>
      </c>
      <c r="I19" s="13">
        <f>B19*$G19*I$1</f>
        <v>55.461458052000005</v>
      </c>
      <c r="J19" s="13">
        <f>C19*$G19*J$1</f>
        <v>64.704519000000005</v>
      </c>
      <c r="K19" s="13">
        <f>D19*$G19*K$1</f>
        <v>328.798763748</v>
      </c>
      <c r="L19" s="13">
        <f>E19*$G19*L$1</f>
        <v>2689.8905189520001</v>
      </c>
      <c r="M19" s="28">
        <f t="shared" ref="M19:M24" si="22">SUM(I19:L19)</f>
        <v>3138.8552597520002</v>
      </c>
      <c r="O19" s="6">
        <f t="shared" si="12"/>
        <v>91.779393559999988</v>
      </c>
      <c r="P19" s="3">
        <v>26</v>
      </c>
      <c r="T19" t="str">
        <f t="shared" si="14"/>
        <v>Etrans</v>
      </c>
      <c r="U19" s="1" t="s">
        <v>480</v>
      </c>
      <c r="V19" s="1" t="str">
        <f t="shared" si="0"/>
        <v>FLAB-P</v>
      </c>
      <c r="W19" s="1" t="s">
        <v>484</v>
      </c>
      <c r="X19">
        <v>3</v>
      </c>
      <c r="Y19">
        <f t="shared" si="13"/>
        <v>1.474E-2</v>
      </c>
      <c r="AB19" t="str">
        <f t="shared" si="15"/>
        <v>Etrans</v>
      </c>
      <c r="AC19" s="1" t="s">
        <v>480</v>
      </c>
      <c r="AD19" s="1" t="str">
        <f t="shared" si="1"/>
        <v>FLAB-M</v>
      </c>
      <c r="AE19" s="1" t="s">
        <v>484</v>
      </c>
      <c r="AF19">
        <v>3</v>
      </c>
      <c r="AG19">
        <f t="shared" si="16"/>
        <v>1.678E-2</v>
      </c>
      <c r="AJ19" t="str">
        <f t="shared" si="17"/>
        <v>Etrans</v>
      </c>
      <c r="AK19" s="1" t="s">
        <v>480</v>
      </c>
      <c r="AL19" s="1" t="str">
        <f t="shared" si="2"/>
        <v>FLAB-S</v>
      </c>
      <c r="AM19" s="1" t="s">
        <v>484</v>
      </c>
      <c r="AN19">
        <v>3</v>
      </c>
      <c r="AO19">
        <f t="shared" si="18"/>
        <v>5.5509999999999997E-2</v>
      </c>
      <c r="AR19" t="str">
        <f t="shared" si="19"/>
        <v>Etrans</v>
      </c>
      <c r="AS19" s="1" t="s">
        <v>480</v>
      </c>
      <c r="AT19" s="1" t="str">
        <f t="shared" si="3"/>
        <v>FLAB-T</v>
      </c>
      <c r="AU19" s="1" t="s">
        <v>484</v>
      </c>
      <c r="AV19">
        <v>3</v>
      </c>
      <c r="AW19">
        <f t="shared" si="20"/>
        <v>0.19872999999999999</v>
      </c>
    </row>
    <row r="20" spans="1:49" x14ac:dyDescent="0.25">
      <c r="A20" s="58" t="s">
        <v>473</v>
      </c>
      <c r="B20" s="3">
        <f t="shared" si="21"/>
        <v>0.16136</v>
      </c>
      <c r="C20" s="3">
        <f t="shared" si="21"/>
        <v>0.18362999999999999</v>
      </c>
      <c r="D20" s="3">
        <f t="shared" si="21"/>
        <v>0.60758999999999996</v>
      </c>
      <c r="E20" s="3">
        <f t="shared" si="21"/>
        <v>2.1752199999999999</v>
      </c>
      <c r="F20" s="4">
        <f>L124</f>
        <v>3.1278004353864803</v>
      </c>
      <c r="G20" s="3">
        <f>H124</f>
        <v>10.6821</v>
      </c>
      <c r="H20" s="6">
        <f>F20*G20</f>
        <v>33.411477030841922</v>
      </c>
      <c r="I20" s="13">
        <f t="shared" ref="I20:L24" si="23">B20*$G20*I$1</f>
        <v>189.63575176946401</v>
      </c>
      <c r="J20" s="13">
        <f t="shared" si="23"/>
        <v>221.16521609325</v>
      </c>
      <c r="K20" s="13">
        <f t="shared" si="23"/>
        <v>1124.0874504519659</v>
      </c>
      <c r="L20" s="13">
        <f t="shared" si="23"/>
        <v>9196.1255653478638</v>
      </c>
      <c r="M20" s="13">
        <f t="shared" si="22"/>
        <v>10731.013983662544</v>
      </c>
      <c r="O20" s="6">
        <f t="shared" si="12"/>
        <v>1004.57906064</v>
      </c>
      <c r="P20" s="3">
        <v>1466</v>
      </c>
      <c r="T20" t="str">
        <f t="shared" si="14"/>
        <v>Edist_Residential</v>
      </c>
      <c r="U20" s="1" t="s">
        <v>480</v>
      </c>
      <c r="V20" s="1" t="str">
        <f t="shared" si="0"/>
        <v>FLAB-P</v>
      </c>
      <c r="W20" s="1" t="s">
        <v>484</v>
      </c>
      <c r="X20">
        <v>3</v>
      </c>
      <c r="Y20">
        <f t="shared" si="13"/>
        <v>0.16136</v>
      </c>
      <c r="AB20" t="str">
        <f t="shared" si="15"/>
        <v>Edist_Residential</v>
      </c>
      <c r="AC20" s="1" t="s">
        <v>480</v>
      </c>
      <c r="AD20" s="1" t="str">
        <f t="shared" si="1"/>
        <v>FLAB-M</v>
      </c>
      <c r="AE20" s="1" t="s">
        <v>484</v>
      </c>
      <c r="AF20">
        <v>3</v>
      </c>
      <c r="AG20">
        <f t="shared" si="16"/>
        <v>0.18362999999999999</v>
      </c>
      <c r="AJ20" t="str">
        <f t="shared" si="17"/>
        <v>Edist_Residential</v>
      </c>
      <c r="AK20" s="1" t="s">
        <v>480</v>
      </c>
      <c r="AL20" s="1" t="str">
        <f t="shared" si="2"/>
        <v>FLAB-S</v>
      </c>
      <c r="AM20" s="1" t="s">
        <v>484</v>
      </c>
      <c r="AN20">
        <v>3</v>
      </c>
      <c r="AO20">
        <f t="shared" si="18"/>
        <v>0.60758999999999996</v>
      </c>
      <c r="AR20" t="str">
        <f t="shared" si="19"/>
        <v>Edist_Residential</v>
      </c>
      <c r="AS20" s="1" t="s">
        <v>480</v>
      </c>
      <c r="AT20" s="1" t="str">
        <f t="shared" si="3"/>
        <v>FLAB-T</v>
      </c>
      <c r="AU20" s="1" t="s">
        <v>484</v>
      </c>
      <c r="AV20">
        <v>3</v>
      </c>
      <c r="AW20">
        <f t="shared" si="20"/>
        <v>2.1752199999999999</v>
      </c>
    </row>
    <row r="21" spans="1:49" x14ac:dyDescent="0.25">
      <c r="A21" s="58" t="s">
        <v>474</v>
      </c>
      <c r="B21" s="3">
        <f t="shared" si="21"/>
        <v>3.1989999999999998E-2</v>
      </c>
      <c r="C21" s="3">
        <f t="shared" si="21"/>
        <v>3.6400000000000002E-2</v>
      </c>
      <c r="D21" s="3">
        <f t="shared" si="21"/>
        <v>0.12044000000000001</v>
      </c>
      <c r="E21" s="3">
        <f t="shared" si="21"/>
        <v>0.43119000000000002</v>
      </c>
      <c r="F21" s="4">
        <f>L125</f>
        <v>0.62001747605244761</v>
      </c>
      <c r="G21" s="3">
        <f>H125</f>
        <v>0.91200000000000003</v>
      </c>
      <c r="H21" s="6">
        <f>F21*G21</f>
        <v>0.56545593815983219</v>
      </c>
      <c r="I21" s="13">
        <f t="shared" si="23"/>
        <v>3.20979112272</v>
      </c>
      <c r="J21" s="13">
        <f t="shared" si="23"/>
        <v>3.7429392000000008</v>
      </c>
      <c r="K21" s="13">
        <f t="shared" si="23"/>
        <v>19.02385064832</v>
      </c>
      <c r="L21" s="13">
        <f t="shared" si="23"/>
        <v>155.63547095616002</v>
      </c>
      <c r="M21" s="13">
        <f t="shared" si="22"/>
        <v>181.61205192720001</v>
      </c>
      <c r="O21" s="6">
        <f t="shared" si="12"/>
        <v>199.13602184999999</v>
      </c>
      <c r="P21" s="3">
        <v>1466</v>
      </c>
      <c r="T21" t="str">
        <f t="shared" si="14"/>
        <v>Edist_Agriculture</v>
      </c>
      <c r="U21" s="1" t="s">
        <v>480</v>
      </c>
      <c r="V21" s="1" t="str">
        <f t="shared" si="0"/>
        <v>FLAB-P</v>
      </c>
      <c r="W21" s="1" t="s">
        <v>484</v>
      </c>
      <c r="X21">
        <v>3</v>
      </c>
      <c r="Y21">
        <f t="shared" si="13"/>
        <v>3.1989999999999998E-2</v>
      </c>
      <c r="AB21" t="str">
        <f t="shared" si="15"/>
        <v>Edist_Agriculture</v>
      </c>
      <c r="AC21" s="1" t="s">
        <v>480</v>
      </c>
      <c r="AD21" s="1" t="str">
        <f t="shared" si="1"/>
        <v>FLAB-M</v>
      </c>
      <c r="AE21" s="1" t="s">
        <v>484</v>
      </c>
      <c r="AF21">
        <v>3</v>
      </c>
      <c r="AG21">
        <f t="shared" si="16"/>
        <v>3.6400000000000002E-2</v>
      </c>
      <c r="AJ21" t="str">
        <f t="shared" si="17"/>
        <v>Edist_Agriculture</v>
      </c>
      <c r="AK21" s="1" t="s">
        <v>480</v>
      </c>
      <c r="AL21" s="1" t="str">
        <f t="shared" si="2"/>
        <v>FLAB-S</v>
      </c>
      <c r="AM21" s="1" t="s">
        <v>484</v>
      </c>
      <c r="AN21">
        <v>3</v>
      </c>
      <c r="AO21">
        <f t="shared" si="18"/>
        <v>0.12044000000000001</v>
      </c>
      <c r="AR21" t="str">
        <f t="shared" si="19"/>
        <v>Edist_Agriculture</v>
      </c>
      <c r="AS21" s="1" t="s">
        <v>480</v>
      </c>
      <c r="AT21" s="1" t="str">
        <f t="shared" si="3"/>
        <v>FLAB-T</v>
      </c>
      <c r="AU21" s="1" t="s">
        <v>484</v>
      </c>
      <c r="AV21">
        <v>3</v>
      </c>
      <c r="AW21">
        <f t="shared" si="20"/>
        <v>0.43119000000000002</v>
      </c>
    </row>
    <row r="22" spans="1:49" x14ac:dyDescent="0.25">
      <c r="A22" s="58" t="s">
        <v>475</v>
      </c>
      <c r="B22" s="3">
        <f t="shared" si="21"/>
        <v>2.656E-2</v>
      </c>
      <c r="C22" s="3">
        <f t="shared" si="21"/>
        <v>3.023E-2</v>
      </c>
      <c r="D22" s="3">
        <f t="shared" si="21"/>
        <v>0.10002999999999999</v>
      </c>
      <c r="E22" s="3">
        <f t="shared" si="21"/>
        <v>0.35811999999999999</v>
      </c>
      <c r="F22" s="4">
        <f>L126</f>
        <v>0.51494477149444284</v>
      </c>
      <c r="G22" s="3">
        <f>H126</f>
        <v>18.776499999999999</v>
      </c>
      <c r="H22" s="6">
        <f>F22*G22</f>
        <v>9.6688605019654048</v>
      </c>
      <c r="I22" s="13">
        <f t="shared" si="23"/>
        <v>54.866897772959994</v>
      </c>
      <c r="J22" s="13">
        <f t="shared" si="23"/>
        <v>63.998432836249997</v>
      </c>
      <c r="K22" s="13">
        <f t="shared" si="23"/>
        <v>325.29527341422994</v>
      </c>
      <c r="L22" s="13">
        <f t="shared" si="23"/>
        <v>2661.2659845189601</v>
      </c>
      <c r="M22" s="13">
        <f t="shared" si="22"/>
        <v>3105.4265885424002</v>
      </c>
      <c r="O22" s="6">
        <f t="shared" si="12"/>
        <v>165.3890016</v>
      </c>
      <c r="P22" s="3">
        <v>348</v>
      </c>
      <c r="T22" t="str">
        <f t="shared" si="14"/>
        <v>Edist_Industry</v>
      </c>
      <c r="U22" s="1" t="s">
        <v>480</v>
      </c>
      <c r="V22" s="1" t="str">
        <f t="shared" si="0"/>
        <v>FLAB-P</v>
      </c>
      <c r="W22" s="1" t="s">
        <v>484</v>
      </c>
      <c r="X22">
        <v>3</v>
      </c>
      <c r="Y22">
        <f t="shared" si="13"/>
        <v>2.656E-2</v>
      </c>
      <c r="AB22" t="str">
        <f t="shared" si="15"/>
        <v>Edist_Industry</v>
      </c>
      <c r="AC22" s="1" t="s">
        <v>480</v>
      </c>
      <c r="AD22" s="1" t="str">
        <f t="shared" si="1"/>
        <v>FLAB-M</v>
      </c>
      <c r="AE22" s="1" t="s">
        <v>484</v>
      </c>
      <c r="AF22">
        <v>3</v>
      </c>
      <c r="AG22">
        <f t="shared" si="16"/>
        <v>3.023E-2</v>
      </c>
      <c r="AJ22" t="str">
        <f t="shared" si="17"/>
        <v>Edist_Industry</v>
      </c>
      <c r="AK22" s="1" t="s">
        <v>480</v>
      </c>
      <c r="AL22" s="1" t="str">
        <f t="shared" si="2"/>
        <v>FLAB-S</v>
      </c>
      <c r="AM22" s="1" t="s">
        <v>484</v>
      </c>
      <c r="AN22">
        <v>3</v>
      </c>
      <c r="AO22">
        <f t="shared" si="18"/>
        <v>0.10002999999999999</v>
      </c>
      <c r="AR22" t="str">
        <f t="shared" si="19"/>
        <v>Edist_Industry</v>
      </c>
      <c r="AS22" s="1" t="s">
        <v>480</v>
      </c>
      <c r="AT22" s="1" t="str">
        <f t="shared" si="3"/>
        <v>FLAB-T</v>
      </c>
      <c r="AU22" s="1" t="s">
        <v>484</v>
      </c>
      <c r="AV22">
        <v>3</v>
      </c>
      <c r="AW22">
        <f t="shared" si="20"/>
        <v>0.35811999999999999</v>
      </c>
    </row>
    <row r="23" spans="1:49" x14ac:dyDescent="0.25">
      <c r="A23" s="58" t="s">
        <v>476</v>
      </c>
      <c r="B23" s="3">
        <f t="shared" si="21"/>
        <v>2.8969999999999999E-2</v>
      </c>
      <c r="C23" s="3">
        <f t="shared" si="21"/>
        <v>3.2969999999999999E-2</v>
      </c>
      <c r="D23" s="3">
        <f t="shared" si="21"/>
        <v>0.1091</v>
      </c>
      <c r="E23" s="3">
        <f t="shared" si="21"/>
        <v>0.39056999999999997</v>
      </c>
      <c r="F23" s="4">
        <f>L127</f>
        <v>0.5616119685990032</v>
      </c>
      <c r="G23" s="3">
        <f>H127</f>
        <v>6.0609000000000002</v>
      </c>
      <c r="H23" s="6">
        <f>F23*G23</f>
        <v>3.4038739804816984</v>
      </c>
      <c r="I23" s="13">
        <f t="shared" si="23"/>
        <v>19.317606131187002</v>
      </c>
      <c r="J23" s="13">
        <f t="shared" si="23"/>
        <v>22.530592680749997</v>
      </c>
      <c r="K23" s="13">
        <f t="shared" si="23"/>
        <v>114.52352624286</v>
      </c>
      <c r="L23" s="13">
        <f t="shared" si="23"/>
        <v>936.87373944543583</v>
      </c>
      <c r="M23" s="13">
        <f t="shared" si="22"/>
        <v>1093.2454645002329</v>
      </c>
      <c r="O23" s="6">
        <f t="shared" si="12"/>
        <v>180.37675336999999</v>
      </c>
      <c r="P23" s="3">
        <v>733</v>
      </c>
      <c r="T23" t="str">
        <f t="shared" si="14"/>
        <v>Edist_Commercial</v>
      </c>
      <c r="U23" s="1" t="s">
        <v>480</v>
      </c>
      <c r="V23" s="1" t="str">
        <f t="shared" si="0"/>
        <v>FLAB-P</v>
      </c>
      <c r="W23" s="1" t="s">
        <v>484</v>
      </c>
      <c r="X23">
        <v>3</v>
      </c>
      <c r="Y23">
        <f t="shared" si="13"/>
        <v>2.8969999999999999E-2</v>
      </c>
      <c r="AB23" t="str">
        <f t="shared" si="15"/>
        <v>Edist_Commercial</v>
      </c>
      <c r="AC23" s="1" t="s">
        <v>480</v>
      </c>
      <c r="AD23" s="1" t="str">
        <f t="shared" si="1"/>
        <v>FLAB-M</v>
      </c>
      <c r="AE23" s="1" t="s">
        <v>484</v>
      </c>
      <c r="AF23">
        <v>3</v>
      </c>
      <c r="AG23">
        <f t="shared" si="16"/>
        <v>3.2969999999999999E-2</v>
      </c>
      <c r="AJ23" t="str">
        <f t="shared" si="17"/>
        <v>Edist_Commercial</v>
      </c>
      <c r="AK23" s="1" t="s">
        <v>480</v>
      </c>
      <c r="AL23" s="1" t="str">
        <f t="shared" si="2"/>
        <v>FLAB-S</v>
      </c>
      <c r="AM23" s="1" t="s">
        <v>484</v>
      </c>
      <c r="AN23">
        <v>3</v>
      </c>
      <c r="AO23">
        <f t="shared" si="18"/>
        <v>0.1091</v>
      </c>
      <c r="AR23" t="str">
        <f t="shared" si="19"/>
        <v>Edist_Commercial</v>
      </c>
      <c r="AS23" s="1" t="s">
        <v>480</v>
      </c>
      <c r="AT23" s="1" t="str">
        <f t="shared" si="3"/>
        <v>FLAB-T</v>
      </c>
      <c r="AU23" s="1" t="s">
        <v>484</v>
      </c>
      <c r="AV23">
        <v>3</v>
      </c>
      <c r="AW23">
        <f t="shared" si="20"/>
        <v>0.39056999999999997</v>
      </c>
    </row>
    <row r="24" spans="1:49" x14ac:dyDescent="0.25">
      <c r="A24" s="58" t="s">
        <v>477</v>
      </c>
      <c r="B24" s="3">
        <f t="shared" si="21"/>
        <v>2.6519999999999998E-2</v>
      </c>
      <c r="C24" s="3">
        <f t="shared" si="21"/>
        <v>3.0179999999999998E-2</v>
      </c>
      <c r="D24" s="3">
        <f t="shared" si="21"/>
        <v>9.9849999999999994E-2</v>
      </c>
      <c r="E24" s="3">
        <f t="shared" si="21"/>
        <v>0.35747000000000001</v>
      </c>
      <c r="F24" s="4">
        <f>L128</f>
        <v>0.51401349430770338</v>
      </c>
      <c r="G24" s="3">
        <f>H128</f>
        <v>0.45069999999999999</v>
      </c>
      <c r="H24" s="6">
        <f>F24*G24</f>
        <v>0.23166588188448189</v>
      </c>
      <c r="I24" s="13">
        <f t="shared" si="23"/>
        <v>1.3150091387159999</v>
      </c>
      <c r="J24" s="13">
        <f t="shared" si="23"/>
        <v>1.5336397064999998</v>
      </c>
      <c r="K24" s="13">
        <f t="shared" si="23"/>
        <v>7.794144799629998</v>
      </c>
      <c r="L24" s="13">
        <f t="shared" si="23"/>
        <v>63.763511209788</v>
      </c>
      <c r="M24" s="13">
        <f t="shared" si="22"/>
        <v>74.406304854634001</v>
      </c>
      <c r="O24" s="6">
        <f t="shared" si="12"/>
        <v>165.09053661999999</v>
      </c>
      <c r="P24" s="3">
        <v>733</v>
      </c>
      <c r="T24" t="str">
        <f t="shared" si="14"/>
        <v>Edist_Transport</v>
      </c>
      <c r="U24" s="1" t="s">
        <v>480</v>
      </c>
      <c r="V24" s="1" t="str">
        <f t="shared" si="0"/>
        <v>FLAB-P</v>
      </c>
      <c r="W24" s="1" t="s">
        <v>484</v>
      </c>
      <c r="X24">
        <v>3</v>
      </c>
      <c r="Y24">
        <f t="shared" si="13"/>
        <v>2.6519999999999998E-2</v>
      </c>
      <c r="AB24" t="str">
        <f t="shared" si="15"/>
        <v>Edist_Transport</v>
      </c>
      <c r="AC24" s="1" t="s">
        <v>480</v>
      </c>
      <c r="AD24" s="1" t="str">
        <f t="shared" si="1"/>
        <v>FLAB-M</v>
      </c>
      <c r="AE24" s="1" t="s">
        <v>484</v>
      </c>
      <c r="AF24">
        <v>3</v>
      </c>
      <c r="AG24">
        <f t="shared" si="16"/>
        <v>3.0179999999999998E-2</v>
      </c>
      <c r="AJ24" t="str">
        <f t="shared" si="17"/>
        <v>Edist_Transport</v>
      </c>
      <c r="AK24" s="1" t="s">
        <v>480</v>
      </c>
      <c r="AL24" s="1" t="str">
        <f t="shared" si="2"/>
        <v>FLAB-S</v>
      </c>
      <c r="AM24" s="1" t="s">
        <v>484</v>
      </c>
      <c r="AN24">
        <v>3</v>
      </c>
      <c r="AO24">
        <f t="shared" si="18"/>
        <v>9.9849999999999994E-2</v>
      </c>
      <c r="AR24" t="str">
        <f t="shared" si="19"/>
        <v>Edist_Transport</v>
      </c>
      <c r="AS24" s="1" t="s">
        <v>480</v>
      </c>
      <c r="AT24" s="1" t="str">
        <f t="shared" si="3"/>
        <v>FLAB-T</v>
      </c>
      <c r="AU24" s="1" t="s">
        <v>484</v>
      </c>
      <c r="AV24">
        <v>3</v>
      </c>
      <c r="AW24">
        <f t="shared" si="20"/>
        <v>0.35747000000000001</v>
      </c>
    </row>
    <row r="25" spans="1:49" x14ac:dyDescent="0.25">
      <c r="A25" s="3" t="s">
        <v>210</v>
      </c>
      <c r="B25" s="3">
        <f>ROUND(B$5*$F25,5)</f>
        <v>0</v>
      </c>
      <c r="C25" s="3">
        <f>ROUND(C$5*$F25,5)</f>
        <v>0</v>
      </c>
      <c r="D25" s="3">
        <f>ROUND(D$5*$F25,5)</f>
        <v>0</v>
      </c>
      <c r="E25" s="3">
        <f>ROUND(E$5*$F25,5)</f>
        <v>0</v>
      </c>
      <c r="H25" s="27">
        <f>SUM(H20:H24)</f>
        <v>47.281333333333336</v>
      </c>
      <c r="M25" s="28">
        <f>SUM(M20:M24)</f>
        <v>15185.704393487013</v>
      </c>
      <c r="O25" s="6">
        <f>SUMPRODUCT(B25:E25,$I$1:$L$1)</f>
        <v>0</v>
      </c>
      <c r="T25"/>
      <c r="U25" s="1"/>
      <c r="V25" s="1"/>
      <c r="W25" s="1"/>
      <c r="X25"/>
      <c r="AB25"/>
      <c r="AC25" s="1"/>
      <c r="AD25" s="1"/>
      <c r="AE25" s="1"/>
      <c r="AF25"/>
      <c r="AG25"/>
      <c r="AJ25"/>
      <c r="AK25" s="1"/>
      <c r="AL25" s="1"/>
      <c r="AM25" s="1"/>
      <c r="AN25"/>
      <c r="AO25"/>
      <c r="AR25"/>
      <c r="AS25" s="1"/>
      <c r="AT25" s="1"/>
      <c r="AU25" s="1"/>
      <c r="AV25"/>
      <c r="AW25"/>
    </row>
    <row r="26" spans="1:49" x14ac:dyDescent="0.25">
      <c r="A26" s="9" t="s">
        <v>60</v>
      </c>
      <c r="B26" s="3">
        <f>SUMPRODUCT(B6:B24,$G6:$G24)</f>
        <v>3.7283480129999997</v>
      </c>
      <c r="C26" s="3">
        <f>SUMPRODUCT(C6:C24,$G6:$G24)</f>
        <v>4.2434662169999999</v>
      </c>
      <c r="D26" s="3">
        <f>SUMPRODUCT(D6:D24,$G6:$G24)</f>
        <v>14.039772598999997</v>
      </c>
      <c r="E26" s="3">
        <f>SUMPRODUCT(E6:E24,$G6:$G24)</f>
        <v>50.263805763999997</v>
      </c>
      <c r="H26" s="26">
        <f>SUM(H3:H25)</f>
        <v>134.77836333333335</v>
      </c>
      <c r="I26" s="9"/>
      <c r="J26" s="9"/>
      <c r="K26" s="9"/>
      <c r="L26" s="9"/>
      <c r="M26" s="28">
        <f>SUM(M3:M25)</f>
        <v>43287.647232948024</v>
      </c>
    </row>
    <row r="27" spans="1:49" x14ac:dyDescent="0.25">
      <c r="A27" s="3" t="s">
        <v>209</v>
      </c>
      <c r="H27" s="13">
        <f>H84</f>
        <v>72.316029999999998</v>
      </c>
      <c r="M27" s="16">
        <f>'From SAM'!V32*1000</f>
        <v>23198</v>
      </c>
      <c r="R27" s="6"/>
      <c r="S27" s="6"/>
    </row>
    <row r="30" spans="1:49" x14ac:dyDescent="0.25">
      <c r="I30" s="3" t="s">
        <v>208</v>
      </c>
    </row>
    <row r="31" spans="1:49" x14ac:dyDescent="0.25">
      <c r="P31" s="3" t="s">
        <v>207</v>
      </c>
      <c r="R31" s="16"/>
      <c r="S31" s="16"/>
    </row>
    <row r="32" spans="1:49" x14ac:dyDescent="0.25">
      <c r="Q32" s="3" t="s">
        <v>206</v>
      </c>
      <c r="R32" s="3" t="s">
        <v>205</v>
      </c>
      <c r="S32" s="3" t="s">
        <v>204</v>
      </c>
    </row>
    <row r="33" spans="1:30" x14ac:dyDescent="0.25">
      <c r="P33" s="9" t="s">
        <v>203</v>
      </c>
      <c r="Q33" s="26">
        <f>H3</f>
        <v>15.221333333333332</v>
      </c>
      <c r="R33" s="26">
        <f>G3</f>
        <v>43.910000000000004</v>
      </c>
      <c r="S33" s="27">
        <f t="shared" ref="S33:S41" si="24">Q33/R33</f>
        <v>0.34664844758217561</v>
      </c>
    </row>
    <row r="34" spans="1:30" x14ac:dyDescent="0.25">
      <c r="A34" s="3" t="s">
        <v>202</v>
      </c>
      <c r="B34" s="3" t="s">
        <v>201</v>
      </c>
      <c r="P34" s="3" t="s">
        <v>158</v>
      </c>
      <c r="Q34" s="13">
        <f>Y69/1000</f>
        <v>1.2</v>
      </c>
      <c r="R34" s="13">
        <f>G17</f>
        <v>1.86</v>
      </c>
      <c r="S34" s="6">
        <f t="shared" si="24"/>
        <v>0.64516129032258063</v>
      </c>
    </row>
    <row r="35" spans="1:30" x14ac:dyDescent="0.25">
      <c r="A35" s="60" t="s">
        <v>483</v>
      </c>
      <c r="B35" s="3">
        <f>33.2+3.72</f>
        <v>36.92</v>
      </c>
      <c r="P35" s="3" t="s">
        <v>200</v>
      </c>
      <c r="Q35" s="13">
        <f>Q33-Q34</f>
        <v>14.021333333333333</v>
      </c>
      <c r="R35" s="13">
        <f>R33-R34</f>
        <v>42.050000000000004</v>
      </c>
      <c r="S35" s="6">
        <f t="shared" si="24"/>
        <v>0.33344431232659527</v>
      </c>
    </row>
    <row r="36" spans="1:30" x14ac:dyDescent="0.25">
      <c r="P36" s="9" t="s">
        <v>199</v>
      </c>
      <c r="Q36" s="26">
        <f>H19</f>
        <v>9.7730300000000057</v>
      </c>
      <c r="R36" s="26">
        <f>G19</f>
        <v>34.200000000000003</v>
      </c>
      <c r="S36" s="27">
        <f t="shared" si="24"/>
        <v>0.28576111111111124</v>
      </c>
    </row>
    <row r="37" spans="1:30" x14ac:dyDescent="0.25">
      <c r="A37" s="3" t="s">
        <v>30</v>
      </c>
      <c r="B37" s="3">
        <v>0.42</v>
      </c>
      <c r="P37" s="9" t="s">
        <v>198</v>
      </c>
      <c r="Q37" s="26">
        <f>H25</f>
        <v>47.281333333333336</v>
      </c>
      <c r="R37" s="26">
        <f>SUM(G20:G24)</f>
        <v>36.882199999999997</v>
      </c>
      <c r="S37" s="27">
        <f t="shared" si="24"/>
        <v>1.281955342504876</v>
      </c>
    </row>
    <row r="38" spans="1:30" x14ac:dyDescent="0.25">
      <c r="A38" s="3" t="s">
        <v>55</v>
      </c>
      <c r="B38" s="3">
        <v>0.67</v>
      </c>
      <c r="P38" s="3" t="s">
        <v>197</v>
      </c>
      <c r="Q38" s="13">
        <f>H20</f>
        <v>33.411477030841922</v>
      </c>
      <c r="R38" s="13">
        <f>G20</f>
        <v>10.6821</v>
      </c>
      <c r="S38" s="6">
        <f t="shared" si="24"/>
        <v>3.1278004353864803</v>
      </c>
    </row>
    <row r="39" spans="1:30" x14ac:dyDescent="0.25">
      <c r="A39" s="3" t="s">
        <v>56</v>
      </c>
      <c r="B39" s="3">
        <v>1.5</v>
      </c>
      <c r="P39" s="3" t="s">
        <v>196</v>
      </c>
      <c r="Q39" s="13">
        <f>H23</f>
        <v>3.4038739804816984</v>
      </c>
      <c r="R39" s="13">
        <f>G23</f>
        <v>6.0609000000000002</v>
      </c>
      <c r="S39" s="6">
        <f t="shared" si="24"/>
        <v>0.5616119685990032</v>
      </c>
    </row>
    <row r="40" spans="1:30" x14ac:dyDescent="0.25">
      <c r="A40" s="3" t="s">
        <v>28</v>
      </c>
      <c r="B40" s="3">
        <v>1.86</v>
      </c>
      <c r="P40" s="3" t="s">
        <v>195</v>
      </c>
      <c r="Q40" s="13">
        <f>H22</f>
        <v>9.6688605019654048</v>
      </c>
      <c r="R40" s="13">
        <f>G22</f>
        <v>18.776499999999999</v>
      </c>
      <c r="S40" s="6">
        <f t="shared" si="24"/>
        <v>0.51494477149444284</v>
      </c>
    </row>
    <row r="41" spans="1:30" x14ac:dyDescent="0.25">
      <c r="A41" s="3" t="s">
        <v>26</v>
      </c>
      <c r="B41" s="3">
        <v>2.46</v>
      </c>
      <c r="P41" s="3" t="s">
        <v>194</v>
      </c>
      <c r="Q41" s="13">
        <f>Q37-SUM(Q38:Q40)</f>
        <v>0.79712182004431043</v>
      </c>
      <c r="R41" s="13">
        <f>R37-SUM(R38:R40)</f>
        <v>1.3626999999999967</v>
      </c>
      <c r="S41" s="6">
        <f t="shared" si="24"/>
        <v>0.58495767230080897</v>
      </c>
    </row>
    <row r="42" spans="1:30" x14ac:dyDescent="0.25">
      <c r="A42" s="3" t="s">
        <v>58</v>
      </c>
      <c r="B42" s="3">
        <v>1.58</v>
      </c>
      <c r="L42" s="13"/>
      <c r="M42" s="20"/>
      <c r="O42" s="16"/>
      <c r="P42" s="9" t="s">
        <v>193</v>
      </c>
      <c r="Q42" s="26">
        <f>Q33+Q36+Q37</f>
        <v>72.275696666666676</v>
      </c>
      <c r="R42" s="26"/>
      <c r="S42" s="6"/>
    </row>
    <row r="43" spans="1:30" x14ac:dyDescent="0.25">
      <c r="L43" s="13"/>
      <c r="M43" s="20"/>
      <c r="O43" s="16"/>
    </row>
    <row r="44" spans="1:30" x14ac:dyDescent="0.25">
      <c r="L44" s="13"/>
      <c r="M44" s="20"/>
      <c r="O44" s="16"/>
    </row>
    <row r="45" spans="1:30" ht="45" x14ac:dyDescent="0.25">
      <c r="F45" s="8" t="s">
        <v>192</v>
      </c>
      <c r="G45" s="8" t="s">
        <v>191</v>
      </c>
      <c r="H45" s="8" t="s">
        <v>190</v>
      </c>
      <c r="I45" s="8" t="s">
        <v>181</v>
      </c>
      <c r="J45" s="8" t="s">
        <v>189</v>
      </c>
      <c r="K45" s="8" t="s">
        <v>188</v>
      </c>
      <c r="L45" s="8" t="s">
        <v>187</v>
      </c>
      <c r="M45" s="8" t="s">
        <v>180</v>
      </c>
      <c r="N45" s="8" t="s">
        <v>186</v>
      </c>
      <c r="O45" s="8" t="s">
        <v>185</v>
      </c>
      <c r="P45" s="8" t="s">
        <v>184</v>
      </c>
      <c r="Q45" s="8" t="s">
        <v>183</v>
      </c>
      <c r="W45" s="8" t="s">
        <v>486</v>
      </c>
      <c r="X45" s="8" t="s">
        <v>182</v>
      </c>
      <c r="Y45" s="8" t="s">
        <v>181</v>
      </c>
      <c r="Z45" s="8" t="str">
        <f>L45</f>
        <v>Annual O&amp;M Jobs/GW</v>
      </c>
      <c r="AA45" s="8" t="s">
        <v>180</v>
      </c>
      <c r="AB45" s="8" t="s">
        <v>179</v>
      </c>
      <c r="AC45" s="8" t="s">
        <v>178</v>
      </c>
      <c r="AD45" s="8" t="s">
        <v>177</v>
      </c>
    </row>
    <row r="46" spans="1:30" x14ac:dyDescent="0.25">
      <c r="F46" s="3">
        <v>1</v>
      </c>
      <c r="G46" s="3" t="s">
        <v>161</v>
      </c>
      <c r="H46" s="3">
        <v>6117</v>
      </c>
      <c r="I46" s="3">
        <v>632</v>
      </c>
      <c r="J46" s="25">
        <f t="shared" ref="J46:J54" si="25">H46/I46*1000</f>
        <v>9678.7974683544307</v>
      </c>
      <c r="K46" s="3">
        <v>25</v>
      </c>
      <c r="L46" s="13">
        <f t="shared" ref="L46:L54" si="26">J46/K46</f>
        <v>387.15189873417722</v>
      </c>
      <c r="M46" s="20">
        <v>0.28000000000000003</v>
      </c>
      <c r="N46" s="3">
        <f t="shared" ref="N46:N54" si="27">I46*M46*8.76/1000</f>
        <v>1.5501696</v>
      </c>
      <c r="O46" s="16">
        <f t="shared" ref="O46:O54" si="28">H46/K46/N46</f>
        <v>157.84079367831751</v>
      </c>
      <c r="P46" s="13">
        <f t="shared" ref="P46:P54" si="29">N46*K46</f>
        <v>38.754240000000003</v>
      </c>
      <c r="Q46" s="16">
        <f t="shared" ref="Q46:Q54" si="30">H46/P46</f>
        <v>157.84079367831751</v>
      </c>
      <c r="S46" s="3">
        <v>1</v>
      </c>
      <c r="T46" s="3" t="s">
        <v>176</v>
      </c>
      <c r="V46" s="3">
        <v>1</v>
      </c>
      <c r="W46" s="3" t="str">
        <f t="shared" ref="W46:W58" si="31">INDEX($T$46:$T$75,V46*2-1)</f>
        <v>Arnot</v>
      </c>
      <c r="X46" s="3">
        <f t="shared" ref="X46:X58" si="32">SUMIF($S$46:$S$75,V46,$T$46:$T$75)</f>
        <v>677</v>
      </c>
      <c r="Y46" s="3">
        <f>INDEX($T$77:$T$107,MATCH(W46,$S$77:$S$107,0))</f>
        <v>2220</v>
      </c>
      <c r="Z46" s="16">
        <f t="shared" ref="Z46:Z58" si="33">X46/Y46*1000</f>
        <v>304.95495495495493</v>
      </c>
      <c r="AA46" s="20">
        <v>0.75</v>
      </c>
      <c r="AB46" s="13">
        <f t="shared" ref="AB46:AB58" si="34">Y46*8.76*AA46/1000</f>
        <v>14.585400000000002</v>
      </c>
      <c r="AC46" s="13">
        <f t="shared" ref="AC46:AC58" si="35">X46/AB46</f>
        <v>46.416279292991618</v>
      </c>
    </row>
    <row r="47" spans="1:30" x14ac:dyDescent="0.25">
      <c r="F47" s="3">
        <v>2</v>
      </c>
      <c r="G47" s="3" t="s">
        <v>161</v>
      </c>
      <c r="H47" s="3">
        <v>3809</v>
      </c>
      <c r="I47" s="3">
        <v>417</v>
      </c>
      <c r="J47" s="25">
        <f t="shared" si="25"/>
        <v>9134.2925659472421</v>
      </c>
      <c r="K47" s="3">
        <f>K46</f>
        <v>25</v>
      </c>
      <c r="L47" s="13">
        <f t="shared" si="26"/>
        <v>365.37170263788971</v>
      </c>
      <c r="M47" s="20">
        <v>0.28000000000000003</v>
      </c>
      <c r="N47" s="3">
        <f t="shared" si="27"/>
        <v>1.0228176</v>
      </c>
      <c r="O47" s="16">
        <f t="shared" si="28"/>
        <v>148.96106598087479</v>
      </c>
      <c r="P47" s="13">
        <f t="shared" si="29"/>
        <v>25.570440000000001</v>
      </c>
      <c r="Q47" s="16">
        <f t="shared" si="30"/>
        <v>148.96106598087479</v>
      </c>
      <c r="S47" s="3">
        <v>1</v>
      </c>
      <c r="T47" s="3">
        <v>677</v>
      </c>
      <c r="V47" s="3">
        <v>2</v>
      </c>
      <c r="W47" s="3" t="str">
        <f t="shared" si="31"/>
        <v>Camden</v>
      </c>
      <c r="X47" s="3">
        <f t="shared" si="32"/>
        <v>324</v>
      </c>
      <c r="Y47" s="3">
        <f>INDEX($T$77:$T$107,MATCH(W47,$S$77:$S$107,0))</f>
        <v>1520</v>
      </c>
      <c r="Z47" s="16">
        <f t="shared" si="33"/>
        <v>213.15789473684211</v>
      </c>
      <c r="AA47" s="20">
        <v>0.75</v>
      </c>
      <c r="AB47" s="13">
        <f t="shared" si="34"/>
        <v>9.9863999999999997</v>
      </c>
      <c r="AC47" s="13">
        <f t="shared" si="35"/>
        <v>32.444124008651769</v>
      </c>
    </row>
    <row r="48" spans="1:30" x14ac:dyDescent="0.25">
      <c r="F48" s="3">
        <v>3</v>
      </c>
      <c r="G48" s="3" t="s">
        <v>161</v>
      </c>
      <c r="H48" s="3">
        <v>7513</v>
      </c>
      <c r="I48" s="3">
        <v>435</v>
      </c>
      <c r="J48" s="25">
        <f t="shared" si="25"/>
        <v>17271.264367816089</v>
      </c>
      <c r="K48" s="3">
        <f>K47</f>
        <v>25</v>
      </c>
      <c r="L48" s="13">
        <f t="shared" si="26"/>
        <v>690.85057471264361</v>
      </c>
      <c r="M48" s="20">
        <v>0.28000000000000003</v>
      </c>
      <c r="N48" s="3">
        <f t="shared" si="27"/>
        <v>1.0669680000000001</v>
      </c>
      <c r="O48" s="16">
        <f t="shared" si="28"/>
        <v>281.65793163431323</v>
      </c>
      <c r="P48" s="13">
        <f t="shared" si="29"/>
        <v>26.674200000000003</v>
      </c>
      <c r="Q48" s="16">
        <f t="shared" si="30"/>
        <v>281.65793163431329</v>
      </c>
      <c r="S48" s="3">
        <f t="shared" ref="S48:S75" si="36">S46+1</f>
        <v>2</v>
      </c>
      <c r="T48" s="3" t="s">
        <v>175</v>
      </c>
      <c r="V48" s="3">
        <v>3</v>
      </c>
      <c r="W48" s="3" t="str">
        <f t="shared" si="31"/>
        <v>Duvha</v>
      </c>
      <c r="X48" s="3">
        <f t="shared" si="32"/>
        <v>696</v>
      </c>
      <c r="Y48" s="3">
        <f>INDEX($T$77:$T$107,MATCH(W48,$S$77:$S$107,0))</f>
        <v>3480</v>
      </c>
      <c r="Z48" s="16">
        <f t="shared" si="33"/>
        <v>200</v>
      </c>
      <c r="AA48" s="20">
        <v>0.75</v>
      </c>
      <c r="AB48" s="13">
        <f t="shared" si="34"/>
        <v>22.863599999999998</v>
      </c>
      <c r="AC48" s="13">
        <f t="shared" si="35"/>
        <v>30.441400304414007</v>
      </c>
    </row>
    <row r="49" spans="6:31" x14ac:dyDescent="0.25">
      <c r="F49" s="3">
        <v>1</v>
      </c>
      <c r="G49" s="3" t="s">
        <v>160</v>
      </c>
      <c r="H49" s="3">
        <v>2461</v>
      </c>
      <c r="I49" s="3">
        <v>634</v>
      </c>
      <c r="J49" s="25">
        <f t="shared" si="25"/>
        <v>3881.7034700315457</v>
      </c>
      <c r="K49" s="3">
        <v>20</v>
      </c>
      <c r="L49" s="13">
        <f t="shared" si="26"/>
        <v>194.08517350157729</v>
      </c>
      <c r="M49" s="20">
        <v>0.36370000000000002</v>
      </c>
      <c r="N49" s="3">
        <f t="shared" si="27"/>
        <v>2.0199316080000003</v>
      </c>
      <c r="O49" s="16">
        <f t="shared" si="28"/>
        <v>60.917904107573122</v>
      </c>
      <c r="P49" s="13">
        <f t="shared" si="29"/>
        <v>40.398632160000005</v>
      </c>
      <c r="Q49" s="16">
        <f t="shared" si="30"/>
        <v>60.917904107573122</v>
      </c>
      <c r="S49" s="3">
        <f t="shared" si="36"/>
        <v>2</v>
      </c>
      <c r="T49" s="3">
        <v>324</v>
      </c>
      <c r="V49" s="3">
        <v>4</v>
      </c>
      <c r="W49" s="3" t="str">
        <f t="shared" si="31"/>
        <v>Grootvlei</v>
      </c>
      <c r="X49" s="3">
        <f t="shared" si="32"/>
        <v>427</v>
      </c>
      <c r="Y49" s="3">
        <v>1080</v>
      </c>
      <c r="Z49" s="16">
        <f t="shared" si="33"/>
        <v>395.37037037037038</v>
      </c>
      <c r="AA49" s="20">
        <v>0.75</v>
      </c>
      <c r="AB49" s="13">
        <f t="shared" si="34"/>
        <v>7.0955999999999992</v>
      </c>
      <c r="AC49" s="13">
        <f t="shared" si="35"/>
        <v>60.178138564744359</v>
      </c>
    </row>
    <row r="50" spans="6:31" x14ac:dyDescent="0.25">
      <c r="F50" s="3">
        <v>2</v>
      </c>
      <c r="G50" s="3" t="s">
        <v>160</v>
      </c>
      <c r="H50" s="3">
        <v>2238</v>
      </c>
      <c r="I50" s="3">
        <v>563</v>
      </c>
      <c r="J50" s="25">
        <f t="shared" si="25"/>
        <v>3975.1332149200712</v>
      </c>
      <c r="K50" s="3">
        <f>K49</f>
        <v>20</v>
      </c>
      <c r="L50" s="13">
        <f t="shared" si="26"/>
        <v>198.75666074600355</v>
      </c>
      <c r="M50" s="20">
        <f>M49</f>
        <v>0.36370000000000002</v>
      </c>
      <c r="N50" s="3">
        <f t="shared" si="27"/>
        <v>1.793724756</v>
      </c>
      <c r="O50" s="16">
        <f t="shared" si="28"/>
        <v>62.384153212857818</v>
      </c>
      <c r="P50" s="13">
        <f t="shared" si="29"/>
        <v>35.874495119999999</v>
      </c>
      <c r="Q50" s="16">
        <f t="shared" si="30"/>
        <v>62.384153212857818</v>
      </c>
      <c r="S50" s="3">
        <f t="shared" si="36"/>
        <v>3</v>
      </c>
      <c r="T50" s="3" t="s">
        <v>174</v>
      </c>
      <c r="V50" s="3">
        <v>5</v>
      </c>
      <c r="W50" s="3" t="str">
        <f t="shared" si="31"/>
        <v>Hendrina</v>
      </c>
      <c r="X50" s="3">
        <f t="shared" si="32"/>
        <v>644</v>
      </c>
      <c r="Y50" s="3">
        <f>INDEX($T$77:$T$107,MATCH(W50,$S$77:$S$107,0))</f>
        <v>1900</v>
      </c>
      <c r="Z50" s="16">
        <f t="shared" si="33"/>
        <v>338.9473684210526</v>
      </c>
      <c r="AA50" s="20">
        <v>0.75</v>
      </c>
      <c r="AB50" s="13">
        <f t="shared" si="34"/>
        <v>12.483000000000001</v>
      </c>
      <c r="AC50" s="13">
        <f t="shared" si="35"/>
        <v>51.590162621164779</v>
      </c>
    </row>
    <row r="51" spans="6:31" x14ac:dyDescent="0.25">
      <c r="F51" s="3">
        <v>3</v>
      </c>
      <c r="G51" s="3" t="s">
        <v>160</v>
      </c>
      <c r="H51" s="3">
        <v>8506</v>
      </c>
      <c r="I51" s="3">
        <v>787</v>
      </c>
      <c r="J51" s="25">
        <f t="shared" si="25"/>
        <v>10808.132147395172</v>
      </c>
      <c r="K51" s="3">
        <f>K50</f>
        <v>20</v>
      </c>
      <c r="L51" s="13">
        <f t="shared" si="26"/>
        <v>540.4066073697586</v>
      </c>
      <c r="M51" s="20">
        <f>M50</f>
        <v>0.36370000000000002</v>
      </c>
      <c r="N51" s="3">
        <f t="shared" si="27"/>
        <v>2.507391444</v>
      </c>
      <c r="O51" s="16">
        <f t="shared" si="28"/>
        <v>169.61850971363529</v>
      </c>
      <c r="P51" s="13">
        <f t="shared" si="29"/>
        <v>50.147828879999999</v>
      </c>
      <c r="Q51" s="16">
        <f t="shared" si="30"/>
        <v>169.61850971363529</v>
      </c>
      <c r="S51" s="3">
        <f t="shared" si="36"/>
        <v>3</v>
      </c>
      <c r="T51" s="3">
        <v>696</v>
      </c>
      <c r="V51" s="3">
        <v>6</v>
      </c>
      <c r="W51" s="3" t="str">
        <f t="shared" si="31"/>
        <v>Kendal</v>
      </c>
      <c r="X51" s="3">
        <f t="shared" si="32"/>
        <v>668</v>
      </c>
      <c r="Y51" s="3">
        <f>INDEX($T$77:$T$107,MATCH(W51,$S$77:$S$107,0))</f>
        <v>3840</v>
      </c>
      <c r="Z51" s="16">
        <f t="shared" si="33"/>
        <v>173.95833333333331</v>
      </c>
      <c r="AA51" s="20">
        <v>0.75</v>
      </c>
      <c r="AB51" s="13">
        <f t="shared" si="34"/>
        <v>25.228800000000003</v>
      </c>
      <c r="AC51" s="13">
        <f t="shared" si="35"/>
        <v>26.477676306443428</v>
      </c>
    </row>
    <row r="52" spans="6:31" x14ac:dyDescent="0.25">
      <c r="F52" s="3">
        <v>1</v>
      </c>
      <c r="G52" s="3" t="s">
        <v>172</v>
      </c>
      <c r="H52" s="3">
        <v>1382</v>
      </c>
      <c r="I52" s="3">
        <v>150</v>
      </c>
      <c r="J52" s="25">
        <f t="shared" si="25"/>
        <v>9213.3333333333321</v>
      </c>
      <c r="K52" s="3">
        <v>30</v>
      </c>
      <c r="L52" s="13">
        <f t="shared" si="26"/>
        <v>307.11111111111109</v>
      </c>
      <c r="M52" s="20">
        <v>0.4</v>
      </c>
      <c r="N52" s="3">
        <f t="shared" si="27"/>
        <v>0.52560000000000007</v>
      </c>
      <c r="O52" s="16">
        <f t="shared" si="28"/>
        <v>87.645865043125312</v>
      </c>
      <c r="P52" s="13">
        <f t="shared" si="29"/>
        <v>15.768000000000002</v>
      </c>
      <c r="Q52" s="16">
        <f t="shared" si="30"/>
        <v>87.645865043125298</v>
      </c>
      <c r="S52" s="3">
        <f t="shared" si="36"/>
        <v>4</v>
      </c>
      <c r="T52" s="3" t="s">
        <v>173</v>
      </c>
      <c r="V52" s="3">
        <v>7</v>
      </c>
      <c r="W52" s="3" t="str">
        <f t="shared" si="31"/>
        <v>Komati</v>
      </c>
      <c r="X52" s="3">
        <f t="shared" si="32"/>
        <v>331</v>
      </c>
      <c r="Y52" s="3">
        <v>900</v>
      </c>
      <c r="Z52" s="16">
        <f t="shared" si="33"/>
        <v>367.77777777777777</v>
      </c>
      <c r="AA52" s="20">
        <v>0.75</v>
      </c>
      <c r="AB52" s="13">
        <f t="shared" si="34"/>
        <v>5.9130000000000003</v>
      </c>
      <c r="AC52" s="13">
        <f t="shared" si="35"/>
        <v>55.97835278200575</v>
      </c>
    </row>
    <row r="53" spans="6:31" x14ac:dyDescent="0.25">
      <c r="F53" s="3">
        <v>2</v>
      </c>
      <c r="G53" s="3" t="s">
        <v>172</v>
      </c>
      <c r="H53" s="3">
        <v>1180</v>
      </c>
      <c r="I53" s="3">
        <v>50</v>
      </c>
      <c r="J53" s="25">
        <f t="shared" si="25"/>
        <v>23600</v>
      </c>
      <c r="K53" s="3">
        <v>30</v>
      </c>
      <c r="L53" s="13">
        <f t="shared" si="26"/>
        <v>786.66666666666663</v>
      </c>
      <c r="M53" s="20">
        <f>M52</f>
        <v>0.4</v>
      </c>
      <c r="N53" s="3">
        <f t="shared" si="27"/>
        <v>0.17519999999999999</v>
      </c>
      <c r="O53" s="16">
        <f t="shared" si="28"/>
        <v>224.50532724505328</v>
      </c>
      <c r="P53" s="13">
        <f t="shared" si="29"/>
        <v>5.2560000000000002</v>
      </c>
      <c r="Q53" s="16">
        <f t="shared" si="30"/>
        <v>224.50532724505325</v>
      </c>
      <c r="S53" s="3">
        <f t="shared" si="36"/>
        <v>4</v>
      </c>
      <c r="T53" s="3">
        <v>427</v>
      </c>
      <c r="V53" s="3">
        <v>8</v>
      </c>
      <c r="W53" s="3" t="str">
        <f t="shared" si="31"/>
        <v>Kriel</v>
      </c>
      <c r="X53" s="3">
        <f t="shared" si="32"/>
        <v>701</v>
      </c>
      <c r="Y53" s="3">
        <f>INDEX($T$77:$T$107,MATCH(W53,$S$77:$S$107,0))</f>
        <v>2880</v>
      </c>
      <c r="Z53" s="16">
        <f t="shared" si="33"/>
        <v>243.40277777777777</v>
      </c>
      <c r="AA53" s="20">
        <v>0.75</v>
      </c>
      <c r="AB53" s="13">
        <f t="shared" si="34"/>
        <v>18.921599999999998</v>
      </c>
      <c r="AC53" s="13">
        <f t="shared" si="35"/>
        <v>37.047606967698293</v>
      </c>
    </row>
    <row r="54" spans="6:31" x14ac:dyDescent="0.25">
      <c r="F54" s="3">
        <v>3</v>
      </c>
      <c r="G54" s="3" t="s">
        <v>172</v>
      </c>
      <c r="H54" s="3">
        <v>1730</v>
      </c>
      <c r="I54" s="3">
        <v>200</v>
      </c>
      <c r="J54" s="25">
        <f t="shared" si="25"/>
        <v>8650</v>
      </c>
      <c r="K54" s="3">
        <v>30</v>
      </c>
      <c r="L54" s="13">
        <f t="shared" si="26"/>
        <v>288.33333333333331</v>
      </c>
      <c r="M54" s="20">
        <f>M53</f>
        <v>0.4</v>
      </c>
      <c r="N54" s="3">
        <f t="shared" si="27"/>
        <v>0.70079999999999998</v>
      </c>
      <c r="O54" s="16">
        <f t="shared" si="28"/>
        <v>82.286910197869105</v>
      </c>
      <c r="P54" s="13">
        <f t="shared" si="29"/>
        <v>21.024000000000001</v>
      </c>
      <c r="Q54" s="16">
        <f t="shared" si="30"/>
        <v>82.286910197869105</v>
      </c>
      <c r="S54" s="3">
        <f t="shared" si="36"/>
        <v>5</v>
      </c>
      <c r="T54" s="3" t="s">
        <v>171</v>
      </c>
      <c r="V54" s="3">
        <v>10</v>
      </c>
      <c r="W54" s="3" t="str">
        <f t="shared" si="31"/>
        <v>Lethabo</v>
      </c>
      <c r="X54" s="3">
        <f t="shared" si="32"/>
        <v>628</v>
      </c>
      <c r="Y54" s="3">
        <f>INDEX($T$77:$T$107,MATCH(W54,$S$77:$S$107,0))</f>
        <v>3540</v>
      </c>
      <c r="Z54" s="16">
        <f t="shared" si="33"/>
        <v>177.40112994350281</v>
      </c>
      <c r="AA54" s="20">
        <v>0.75</v>
      </c>
      <c r="AB54" s="13">
        <f t="shared" si="34"/>
        <v>23.2578</v>
      </c>
      <c r="AC54" s="13">
        <f t="shared" si="35"/>
        <v>27.001694055327675</v>
      </c>
    </row>
    <row r="55" spans="6:31" x14ac:dyDescent="0.25">
      <c r="S55" s="3">
        <f t="shared" si="36"/>
        <v>5</v>
      </c>
      <c r="T55" s="3">
        <v>644</v>
      </c>
      <c r="V55" s="3">
        <v>11</v>
      </c>
      <c r="W55" s="3" t="str">
        <f t="shared" si="31"/>
        <v>Majuba</v>
      </c>
      <c r="X55" s="3">
        <f t="shared" si="32"/>
        <v>508</v>
      </c>
      <c r="Y55" s="24">
        <f>T86+T87</f>
        <v>3840</v>
      </c>
      <c r="Z55" s="16">
        <f t="shared" si="33"/>
        <v>132.29166666666666</v>
      </c>
      <c r="AA55" s="20">
        <v>0.75</v>
      </c>
      <c r="AB55" s="13">
        <f t="shared" si="34"/>
        <v>25.228800000000003</v>
      </c>
      <c r="AC55" s="13">
        <f t="shared" si="35"/>
        <v>20.135717909690509</v>
      </c>
    </row>
    <row r="56" spans="6:31" x14ac:dyDescent="0.25">
      <c r="G56" s="3" t="s">
        <v>170</v>
      </c>
      <c r="J56" s="21">
        <f>AVERAGE(J46:J47)</f>
        <v>9406.5450171508364</v>
      </c>
      <c r="L56" s="23">
        <f>AVERAGE(L46:L47)</f>
        <v>376.26180068603344</v>
      </c>
      <c r="O56" s="16">
        <f>AVERAGE(O46:O47)</f>
        <v>153.40092982959615</v>
      </c>
      <c r="S56" s="3">
        <f t="shared" si="36"/>
        <v>6</v>
      </c>
      <c r="T56" s="3" t="s">
        <v>169</v>
      </c>
      <c r="V56" s="3">
        <v>12</v>
      </c>
      <c r="W56" s="3" t="str">
        <f t="shared" si="31"/>
        <v>Matimba</v>
      </c>
      <c r="X56" s="3">
        <f t="shared" si="32"/>
        <v>476</v>
      </c>
      <c r="Y56" s="3">
        <f>INDEX($T$77:$T$107,MATCH(W56,$S$77:$S$107,0))</f>
        <v>3720</v>
      </c>
      <c r="Z56" s="16">
        <f t="shared" si="33"/>
        <v>127.95698924731182</v>
      </c>
      <c r="AA56" s="20">
        <v>0.75</v>
      </c>
      <c r="AB56" s="13">
        <f t="shared" si="34"/>
        <v>24.4404</v>
      </c>
      <c r="AC56" s="13">
        <f t="shared" si="35"/>
        <v>19.475949657125089</v>
      </c>
    </row>
    <row r="57" spans="6:31" x14ac:dyDescent="0.25">
      <c r="G57" s="3" t="s">
        <v>168</v>
      </c>
      <c r="J57" s="21">
        <f>AVERAGE(J49:J51)</f>
        <v>6221.6562774489294</v>
      </c>
      <c r="L57" s="23">
        <f>AVERAGE(L49:L51)</f>
        <v>311.08281387244648</v>
      </c>
      <c r="O57" s="16">
        <f>AVERAGE(O49:O51)</f>
        <v>97.640189011355417</v>
      </c>
      <c r="S57" s="3">
        <f t="shared" si="36"/>
        <v>6</v>
      </c>
      <c r="T57" s="3">
        <v>668</v>
      </c>
      <c r="V57" s="3">
        <v>13</v>
      </c>
      <c r="W57" s="3" t="str">
        <f t="shared" si="31"/>
        <v>Matla</v>
      </c>
      <c r="X57" s="3">
        <f t="shared" si="32"/>
        <v>659</v>
      </c>
      <c r="Y57" s="3">
        <f>INDEX($T$77:$T$107,MATCH(W57,$S$77:$S$107,0))</f>
        <v>3480</v>
      </c>
      <c r="Z57" s="16">
        <f t="shared" si="33"/>
        <v>189.36781609195401</v>
      </c>
      <c r="AA57" s="20">
        <v>0.75</v>
      </c>
      <c r="AB57" s="13">
        <f t="shared" si="34"/>
        <v>22.863599999999998</v>
      </c>
      <c r="AC57" s="13">
        <f t="shared" si="35"/>
        <v>28.823107472139124</v>
      </c>
    </row>
    <row r="58" spans="6:31" x14ac:dyDescent="0.25">
      <c r="G58" s="3" t="s">
        <v>167</v>
      </c>
      <c r="J58" s="21">
        <f>AVERAGE(J52:J54)</f>
        <v>13821.111111111109</v>
      </c>
      <c r="L58" s="22">
        <f>AVERAGE(L52:L54)</f>
        <v>460.7037037037037</v>
      </c>
      <c r="O58" s="21">
        <f>AVERAGE(O52:O54)</f>
        <v>131.47936749534924</v>
      </c>
      <c r="S58" s="3">
        <f t="shared" si="36"/>
        <v>7</v>
      </c>
      <c r="T58" s="3" t="s">
        <v>166</v>
      </c>
      <c r="V58" s="3">
        <v>15</v>
      </c>
      <c r="W58" s="3" t="str">
        <f t="shared" si="31"/>
        <v>Tutuka</v>
      </c>
      <c r="X58" s="3">
        <f t="shared" si="32"/>
        <v>649</v>
      </c>
      <c r="Y58" s="3">
        <f>INDEX($T$77:$T$107,MATCH(W58,$S$77:$S$107,0))</f>
        <v>3540</v>
      </c>
      <c r="Z58" s="16">
        <f t="shared" si="33"/>
        <v>183.33333333333331</v>
      </c>
      <c r="AA58" s="20">
        <v>0.75</v>
      </c>
      <c r="AB58" s="13">
        <f t="shared" si="34"/>
        <v>23.2578</v>
      </c>
      <c r="AC58" s="13">
        <f t="shared" si="35"/>
        <v>27.904616945712835</v>
      </c>
    </row>
    <row r="59" spans="6:31" x14ac:dyDescent="0.25">
      <c r="S59" s="3">
        <f t="shared" si="36"/>
        <v>7</v>
      </c>
      <c r="T59" s="3">
        <v>331</v>
      </c>
      <c r="W59" s="3" t="s">
        <v>487</v>
      </c>
      <c r="Z59" s="16">
        <f>SUM(X46:X58)/SUM(Y46:Y58)*1000</f>
        <v>205.56483027267669</v>
      </c>
      <c r="AC59" s="16">
        <f>SUM(X46:X58)/SUM(AB46:AB58)</f>
        <v>31.288406434197366</v>
      </c>
    </row>
    <row r="60" spans="6:31" x14ac:dyDescent="0.25">
      <c r="F60" s="9" t="s">
        <v>165</v>
      </c>
      <c r="S60" s="3">
        <f t="shared" si="36"/>
        <v>8</v>
      </c>
      <c r="T60" s="3" t="s">
        <v>164</v>
      </c>
      <c r="AE60" s="19" t="s">
        <v>163</v>
      </c>
    </row>
    <row r="61" spans="6:31" x14ac:dyDescent="0.25">
      <c r="G61" s="485" t="s">
        <v>147</v>
      </c>
      <c r="H61" s="485"/>
      <c r="I61" s="485"/>
      <c r="J61" s="485"/>
      <c r="K61" s="485" t="s">
        <v>162</v>
      </c>
      <c r="L61" s="485"/>
      <c r="M61" s="485"/>
      <c r="N61" s="485"/>
      <c r="S61" s="3">
        <f t="shared" si="36"/>
        <v>8</v>
      </c>
      <c r="T61" s="3">
        <v>701</v>
      </c>
      <c r="W61" s="3" t="s">
        <v>488</v>
      </c>
      <c r="X61" s="3">
        <v>1200</v>
      </c>
      <c r="Y61" s="3">
        <v>1860</v>
      </c>
      <c r="Z61" s="16">
        <f>X61/Y61*1000</f>
        <v>645.16129032258061</v>
      </c>
      <c r="AA61" s="20">
        <v>0.8</v>
      </c>
      <c r="AB61" s="13">
        <f>Y61*8.76*AA61/1000</f>
        <v>13.034880000000001</v>
      </c>
      <c r="AC61" s="13">
        <f>X61/AB61</f>
        <v>92.060686404477821</v>
      </c>
    </row>
    <row r="62" spans="6:31" x14ac:dyDescent="0.25">
      <c r="G62" s="3" t="s">
        <v>161</v>
      </c>
      <c r="H62" s="3" t="s">
        <v>160</v>
      </c>
      <c r="I62" s="3" t="s">
        <v>159</v>
      </c>
      <c r="J62" s="3" t="s">
        <v>158</v>
      </c>
      <c r="K62" s="3" t="s">
        <v>161</v>
      </c>
      <c r="L62" s="3" t="s">
        <v>160</v>
      </c>
      <c r="M62" s="3" t="s">
        <v>159</v>
      </c>
      <c r="N62" s="3" t="s">
        <v>158</v>
      </c>
      <c r="S62" s="3">
        <f t="shared" si="36"/>
        <v>9</v>
      </c>
      <c r="T62" s="3" t="s">
        <v>157</v>
      </c>
    </row>
    <row r="63" spans="6:31" x14ac:dyDescent="0.25">
      <c r="F63" s="3" t="s">
        <v>156</v>
      </c>
      <c r="G63" s="16">
        <f>AVERAGE(Q46:Q47)</f>
        <v>153.40092982959615</v>
      </c>
      <c r="H63" s="16">
        <f>AVERAGE(Q49:Q50)</f>
        <v>61.651028660215474</v>
      </c>
      <c r="K63" s="16">
        <f>L56</f>
        <v>376.26180068603344</v>
      </c>
      <c r="L63" s="16">
        <f>AVERAGE(L49:L50)</f>
        <v>196.42091712379042</v>
      </c>
      <c r="S63" s="3">
        <f t="shared" si="36"/>
        <v>9</v>
      </c>
      <c r="T63" s="3">
        <v>247</v>
      </c>
    </row>
    <row r="64" spans="6:31" x14ac:dyDescent="0.25">
      <c r="F64" s="3" t="s">
        <v>155</v>
      </c>
      <c r="G64" s="16">
        <f>Q48</f>
        <v>281.65793163431329</v>
      </c>
      <c r="H64" s="16">
        <f>Q51</f>
        <v>169.61850971363529</v>
      </c>
      <c r="K64" s="16">
        <f>L48</f>
        <v>690.85057471264361</v>
      </c>
      <c r="L64" s="16">
        <f>L51</f>
        <v>540.4066073697586</v>
      </c>
      <c r="S64" s="3">
        <f t="shared" si="36"/>
        <v>10</v>
      </c>
      <c r="T64" s="3" t="s">
        <v>154</v>
      </c>
      <c r="AD64" s="19" t="s">
        <v>153</v>
      </c>
    </row>
    <row r="65" spans="5:28" x14ac:dyDescent="0.25">
      <c r="F65" s="3" t="s">
        <v>152</v>
      </c>
      <c r="G65" s="3">
        <v>107</v>
      </c>
      <c r="H65" s="3">
        <v>127</v>
      </c>
      <c r="I65" s="3">
        <v>28</v>
      </c>
      <c r="J65" s="3">
        <v>60</v>
      </c>
      <c r="K65" s="16">
        <f>G65*K63/G63</f>
        <v>262.44960000000003</v>
      </c>
      <c r="L65" s="16">
        <f>H65*L63/H63</f>
        <v>404.62352400000003</v>
      </c>
      <c r="M65" s="16">
        <f>M68/I68*I65</f>
        <v>183.95999999999998</v>
      </c>
      <c r="N65" s="16">
        <f>N68/J68*J65</f>
        <v>420.48000000000008</v>
      </c>
      <c r="S65" s="3">
        <f t="shared" si="36"/>
        <v>10</v>
      </c>
      <c r="T65" s="3">
        <v>628</v>
      </c>
    </row>
    <row r="66" spans="5:28" x14ac:dyDescent="0.25">
      <c r="F66" s="3" t="s">
        <v>151</v>
      </c>
      <c r="G66" s="16">
        <f>K66*G63/K63</f>
        <v>43.793038821952514</v>
      </c>
      <c r="H66" s="16">
        <f>L66*H63/L63</f>
        <v>21.522496903298855</v>
      </c>
      <c r="J66" s="16"/>
      <c r="K66" s="16">
        <v>107.41556562248512</v>
      </c>
      <c r="L66" s="16">
        <v>68.570933403872985</v>
      </c>
      <c r="S66" s="3">
        <f t="shared" si="36"/>
        <v>11</v>
      </c>
      <c r="T66" s="3" t="s">
        <v>150</v>
      </c>
      <c r="X66" s="3" t="s">
        <v>86</v>
      </c>
      <c r="Y66" s="3" t="s">
        <v>149</v>
      </c>
      <c r="Z66" s="3" t="s">
        <v>148</v>
      </c>
      <c r="AB66" s="3" t="s">
        <v>147</v>
      </c>
    </row>
    <row r="67" spans="5:28" x14ac:dyDescent="0.25">
      <c r="F67" s="3" t="s">
        <v>146</v>
      </c>
      <c r="I67" s="13">
        <f>AVERAGE(AC46:AC58)</f>
        <v>35.685755914469944</v>
      </c>
      <c r="J67" s="13">
        <f>AC61</f>
        <v>92.060686404477821</v>
      </c>
      <c r="M67" s="16">
        <f>Z59</f>
        <v>205.56483027267669</v>
      </c>
      <c r="N67" s="16">
        <f>Z69</f>
        <v>645.16129032258061</v>
      </c>
      <c r="S67" s="3">
        <f t="shared" si="36"/>
        <v>11</v>
      </c>
      <c r="T67" s="3">
        <v>508</v>
      </c>
      <c r="X67" s="3">
        <v>35.840000000000003</v>
      </c>
      <c r="Y67" s="3">
        <f>SUM(X46:X58)</f>
        <v>7388</v>
      </c>
      <c r="Z67" s="16">
        <f>Y67/X67</f>
        <v>206.13839285714283</v>
      </c>
      <c r="AA67" s="3" t="s">
        <v>145</v>
      </c>
    </row>
    <row r="68" spans="5:28" x14ac:dyDescent="0.25">
      <c r="F68" s="3" t="s">
        <v>91</v>
      </c>
      <c r="G68" s="16">
        <f>O56</f>
        <v>153.40092982959615</v>
      </c>
      <c r="H68" s="16">
        <f>O57</f>
        <v>97.640189011355417</v>
      </c>
      <c r="I68" s="13">
        <f>AB75</f>
        <v>50.752558953819687</v>
      </c>
      <c r="J68" s="13">
        <f>J67</f>
        <v>92.060686404477821</v>
      </c>
      <c r="K68" s="16">
        <f>L56</f>
        <v>376.26180068603344</v>
      </c>
      <c r="L68" s="16">
        <f>L57</f>
        <v>311.08281387244648</v>
      </c>
      <c r="M68" s="16">
        <f>Z75</f>
        <v>333.44431232659531</v>
      </c>
      <c r="N68" s="16">
        <f>N67</f>
        <v>645.16129032258061</v>
      </c>
      <c r="S68" s="3">
        <f t="shared" si="36"/>
        <v>12</v>
      </c>
      <c r="T68" s="3" t="s">
        <v>144</v>
      </c>
      <c r="X68" s="3">
        <v>0.67</v>
      </c>
      <c r="Z68" s="16">
        <f>Y68/X68</f>
        <v>0</v>
      </c>
    </row>
    <row r="69" spans="5:28" x14ac:dyDescent="0.25">
      <c r="S69" s="3">
        <f t="shared" si="36"/>
        <v>12</v>
      </c>
      <c r="T69" s="3">
        <v>476</v>
      </c>
      <c r="X69" s="3">
        <v>1.86</v>
      </c>
      <c r="Y69" s="3">
        <f>X61</f>
        <v>1200</v>
      </c>
      <c r="Z69" s="18">
        <f>Y69/X69</f>
        <v>645.16129032258061</v>
      </c>
    </row>
    <row r="70" spans="5:28" x14ac:dyDescent="0.25">
      <c r="S70" s="3">
        <f t="shared" si="36"/>
        <v>13</v>
      </c>
      <c r="T70" s="3" t="s">
        <v>143</v>
      </c>
      <c r="X70" s="3">
        <v>2.46</v>
      </c>
      <c r="Z70" s="16">
        <f>Y70/X70</f>
        <v>0</v>
      </c>
    </row>
    <row r="71" spans="5:28" x14ac:dyDescent="0.25">
      <c r="S71" s="3">
        <f t="shared" si="36"/>
        <v>13</v>
      </c>
      <c r="T71" s="3">
        <v>659</v>
      </c>
      <c r="X71" s="3">
        <v>1.58</v>
      </c>
      <c r="Z71" s="16">
        <f>Y71/X71</f>
        <v>0</v>
      </c>
    </row>
    <row r="72" spans="5:28" x14ac:dyDescent="0.25">
      <c r="S72" s="3">
        <f t="shared" si="36"/>
        <v>14</v>
      </c>
      <c r="T72" s="3" t="s">
        <v>142</v>
      </c>
      <c r="X72" s="3">
        <f>SUM(X67:X71)</f>
        <v>42.410000000000004</v>
      </c>
      <c r="Z72" s="16"/>
    </row>
    <row r="73" spans="5:28" x14ac:dyDescent="0.25">
      <c r="S73" s="3">
        <f t="shared" si="36"/>
        <v>14</v>
      </c>
      <c r="T73" s="3">
        <v>293</v>
      </c>
      <c r="X73" s="3" t="s">
        <v>86</v>
      </c>
      <c r="Y73" s="3" t="s">
        <v>141</v>
      </c>
    </row>
    <row r="74" spans="5:28" x14ac:dyDescent="0.25">
      <c r="S74" s="3">
        <f t="shared" si="36"/>
        <v>15</v>
      </c>
      <c r="T74" s="3" t="s">
        <v>140</v>
      </c>
      <c r="X74" s="4">
        <f>G3</f>
        <v>43.910000000000004</v>
      </c>
      <c r="Y74" s="3">
        <f>F100*1000</f>
        <v>15221.333333333334</v>
      </c>
      <c r="Z74" s="16"/>
    </row>
    <row r="75" spans="5:28" x14ac:dyDescent="0.25">
      <c r="S75" s="3">
        <f t="shared" si="36"/>
        <v>15</v>
      </c>
      <c r="T75" s="3">
        <v>649</v>
      </c>
      <c r="X75" s="4">
        <f>X74-X69</f>
        <v>42.050000000000004</v>
      </c>
      <c r="Y75" s="3">
        <f>Y74-Y69</f>
        <v>14021.333333333334</v>
      </c>
      <c r="Z75" s="18">
        <f>Y75/X75</f>
        <v>333.44431232659531</v>
      </c>
      <c r="AA75" s="3" t="s">
        <v>139</v>
      </c>
      <c r="AB75" s="3">
        <f>AC59/Z59*Z75</f>
        <v>50.752558953819687</v>
      </c>
    </row>
    <row r="76" spans="5:28" x14ac:dyDescent="0.25">
      <c r="E76" s="3" t="s">
        <v>138</v>
      </c>
    </row>
    <row r="77" spans="5:28" x14ac:dyDescent="0.25">
      <c r="E77" s="3" t="s">
        <v>137</v>
      </c>
      <c r="S77" s="2" t="s">
        <v>136</v>
      </c>
      <c r="T77" s="15">
        <v>1520</v>
      </c>
    </row>
    <row r="78" spans="5:28" x14ac:dyDescent="0.25">
      <c r="H78" s="3">
        <v>2012</v>
      </c>
      <c r="S78" s="2" t="s">
        <v>135</v>
      </c>
      <c r="T78" s="15">
        <v>360</v>
      </c>
    </row>
    <row r="79" spans="5:28" x14ac:dyDescent="0.25">
      <c r="E79" s="3" t="s">
        <v>134</v>
      </c>
      <c r="F79" s="3" t="s">
        <v>127</v>
      </c>
      <c r="G79" s="3" t="s">
        <v>126</v>
      </c>
      <c r="H79" s="3">
        <v>3.730645</v>
      </c>
      <c r="S79" s="2" t="s">
        <v>133</v>
      </c>
      <c r="T79" s="15">
        <v>200</v>
      </c>
    </row>
    <row r="80" spans="5:28" x14ac:dyDescent="0.25">
      <c r="E80" s="3" t="s">
        <v>132</v>
      </c>
      <c r="F80" s="3" t="s">
        <v>127</v>
      </c>
      <c r="G80" s="3" t="s">
        <v>126</v>
      </c>
      <c r="H80" s="3">
        <v>4.2457479999999999</v>
      </c>
      <c r="S80" s="2" t="s">
        <v>131</v>
      </c>
      <c r="T80" s="15">
        <v>2220</v>
      </c>
    </row>
    <row r="81" spans="5:20" x14ac:dyDescent="0.25">
      <c r="E81" s="3" t="s">
        <v>130</v>
      </c>
      <c r="F81" s="3" t="s">
        <v>127</v>
      </c>
      <c r="G81" s="3" t="s">
        <v>126</v>
      </c>
      <c r="H81" s="3">
        <v>14.047689</v>
      </c>
      <c r="S81" s="2" t="s">
        <v>129</v>
      </c>
      <c r="T81" s="15">
        <v>3480</v>
      </c>
    </row>
    <row r="82" spans="5:20" x14ac:dyDescent="0.25">
      <c r="E82" s="3" t="s">
        <v>128</v>
      </c>
      <c r="F82" s="3" t="s">
        <v>127</v>
      </c>
      <c r="G82" s="3" t="s">
        <v>126</v>
      </c>
      <c r="H82" s="3">
        <v>50.291947999999998</v>
      </c>
      <c r="S82" s="2" t="s">
        <v>125</v>
      </c>
      <c r="T82" s="15">
        <v>1900</v>
      </c>
    </row>
    <row r="83" spans="5:20" x14ac:dyDescent="0.25">
      <c r="S83" s="2" t="s">
        <v>124</v>
      </c>
      <c r="T83" s="15">
        <v>3840</v>
      </c>
    </row>
    <row r="84" spans="5:20" x14ac:dyDescent="0.25">
      <c r="E84" s="3" t="s">
        <v>60</v>
      </c>
      <c r="H84" s="13">
        <f>SUM(H79:H82)</f>
        <v>72.316029999999998</v>
      </c>
      <c r="S84" s="2" t="s">
        <v>123</v>
      </c>
      <c r="T84" s="15">
        <v>2880</v>
      </c>
    </row>
    <row r="85" spans="5:20" x14ac:dyDescent="0.25">
      <c r="E85" s="3" t="s">
        <v>122</v>
      </c>
      <c r="H85" s="3">
        <v>44</v>
      </c>
      <c r="S85" s="2" t="s">
        <v>121</v>
      </c>
      <c r="T85" s="15">
        <v>3540</v>
      </c>
    </row>
    <row r="86" spans="5:20" x14ac:dyDescent="0.25">
      <c r="E86" s="3" t="s">
        <v>120</v>
      </c>
      <c r="H86" s="16">
        <f>H84-H85</f>
        <v>28.316029999999998</v>
      </c>
      <c r="S86" s="2" t="s">
        <v>119</v>
      </c>
      <c r="T86" s="15">
        <v>1830</v>
      </c>
    </row>
    <row r="87" spans="5:20" x14ac:dyDescent="0.25">
      <c r="E87" s="3" t="s">
        <v>118</v>
      </c>
      <c r="H87" s="16">
        <f>H86</f>
        <v>28.316029999999998</v>
      </c>
      <c r="S87" s="2" t="s">
        <v>117</v>
      </c>
      <c r="T87" s="15">
        <v>2010</v>
      </c>
    </row>
    <row r="88" spans="5:20" x14ac:dyDescent="0.25">
      <c r="S88" s="2" t="s">
        <v>116</v>
      </c>
      <c r="T88" s="17">
        <v>3720</v>
      </c>
    </row>
    <row r="89" spans="5:20" x14ac:dyDescent="0.25">
      <c r="E89" s="3" t="s">
        <v>115</v>
      </c>
      <c r="H89" s="16">
        <f>H85-H87</f>
        <v>15.683970000000002</v>
      </c>
      <c r="S89" s="2" t="s">
        <v>114</v>
      </c>
      <c r="T89" s="15">
        <v>3480</v>
      </c>
    </row>
    <row r="90" spans="5:20" x14ac:dyDescent="0.25">
      <c r="E90" s="3" t="s">
        <v>105</v>
      </c>
      <c r="H90" s="13">
        <f>SUM(X46:X61)/1000</f>
        <v>8.5879999999999992</v>
      </c>
      <c r="S90" s="2" t="s">
        <v>113</v>
      </c>
      <c r="T90" s="17">
        <v>3540</v>
      </c>
    </row>
    <row r="91" spans="5:20" x14ac:dyDescent="0.25">
      <c r="E91" s="3" t="s">
        <v>112</v>
      </c>
      <c r="H91" s="16">
        <f>H89-H90</f>
        <v>7.095970000000003</v>
      </c>
      <c r="S91" s="2" t="s">
        <v>111</v>
      </c>
      <c r="T91" s="15">
        <v>50</v>
      </c>
    </row>
    <row r="92" spans="5:20" x14ac:dyDescent="0.25">
      <c r="S92" s="2" t="s">
        <v>110</v>
      </c>
      <c r="T92" s="15">
        <v>160</v>
      </c>
    </row>
    <row r="93" spans="5:20" x14ac:dyDescent="0.25">
      <c r="S93" s="2" t="s">
        <v>109</v>
      </c>
      <c r="T93" s="15">
        <v>90</v>
      </c>
    </row>
    <row r="94" spans="5:20" x14ac:dyDescent="0.25">
      <c r="E94" s="3" t="s">
        <v>108</v>
      </c>
      <c r="I94" s="3" t="s">
        <v>107</v>
      </c>
      <c r="S94" s="2" t="s">
        <v>106</v>
      </c>
      <c r="T94" s="15">
        <v>180</v>
      </c>
    </row>
    <row r="95" spans="5:20" x14ac:dyDescent="0.25">
      <c r="F95" s="3" t="s">
        <v>105</v>
      </c>
      <c r="G95" s="3" t="s">
        <v>104</v>
      </c>
      <c r="H95" s="3" t="s">
        <v>103</v>
      </c>
      <c r="I95" s="3" t="s">
        <v>102</v>
      </c>
      <c r="J95" s="3" t="s">
        <v>101</v>
      </c>
      <c r="K95" s="3" t="s">
        <v>100</v>
      </c>
      <c r="L95" s="3" t="s">
        <v>99</v>
      </c>
      <c r="M95" s="3" t="s">
        <v>98</v>
      </c>
      <c r="N95" s="3" t="s">
        <v>60</v>
      </c>
      <c r="S95" s="2" t="s">
        <v>97</v>
      </c>
      <c r="T95" s="15">
        <v>150</v>
      </c>
    </row>
    <row r="96" spans="5:20" x14ac:dyDescent="0.25">
      <c r="E96" s="3" t="s">
        <v>96</v>
      </c>
      <c r="F96" s="3">
        <v>10.106999999999999</v>
      </c>
      <c r="G96" s="3">
        <v>2.0049999999999999</v>
      </c>
      <c r="I96" s="3">
        <v>2.1349999999999998</v>
      </c>
      <c r="J96" s="3">
        <v>1.889</v>
      </c>
      <c r="K96" s="3">
        <v>5.1639999999999997</v>
      </c>
      <c r="L96" s="3">
        <v>1.4410000000000001</v>
      </c>
      <c r="M96" s="3">
        <v>10.507999999999999</v>
      </c>
      <c r="N96" s="3">
        <f>SUM(F96:M96)</f>
        <v>33.248999999999995</v>
      </c>
      <c r="S96" s="2" t="s">
        <v>95</v>
      </c>
      <c r="T96" s="15">
        <v>500</v>
      </c>
    </row>
    <row r="97" spans="5:20" x14ac:dyDescent="0.25">
      <c r="E97" s="3" t="s">
        <v>94</v>
      </c>
      <c r="F97" s="3">
        <v>12.42</v>
      </c>
      <c r="G97" s="3">
        <v>1.67</v>
      </c>
      <c r="I97" s="3">
        <f>44-F97-G97-M97</f>
        <v>7.8299999999999983</v>
      </c>
      <c r="M97" s="3">
        <v>22.08</v>
      </c>
      <c r="N97" s="3">
        <f>SUM(F97:M97)</f>
        <v>44</v>
      </c>
      <c r="S97" s="2" t="s">
        <v>90</v>
      </c>
      <c r="T97" s="2">
        <v>180</v>
      </c>
    </row>
    <row r="98" spans="5:20" x14ac:dyDescent="0.25">
      <c r="E98" s="3" t="s">
        <v>93</v>
      </c>
      <c r="F98" s="3">
        <v>1.08</v>
      </c>
      <c r="I98" s="13">
        <f>H84-68.6</f>
        <v>3.7160300000000035</v>
      </c>
      <c r="M98" s="3">
        <v>23.48</v>
      </c>
      <c r="N98" s="3">
        <f>SUM(F98:M98)</f>
        <v>28.276030000000006</v>
      </c>
      <c r="S98" s="2" t="s">
        <v>90</v>
      </c>
      <c r="T98" s="2">
        <v>1350</v>
      </c>
    </row>
    <row r="99" spans="5:20" x14ac:dyDescent="0.25">
      <c r="E99" s="3" t="s">
        <v>92</v>
      </c>
      <c r="F99" s="6">
        <f>F97+F98</f>
        <v>13.5</v>
      </c>
      <c r="G99" s="3">
        <f>G97+G98</f>
        <v>1.67</v>
      </c>
      <c r="I99" s="3">
        <f>I97+I98</f>
        <v>11.546030000000002</v>
      </c>
      <c r="M99" s="3">
        <f>M97+M98</f>
        <v>45.56</v>
      </c>
      <c r="N99" s="13">
        <f>N97+N98</f>
        <v>72.276030000000006</v>
      </c>
      <c r="S99" s="2" t="s">
        <v>90</v>
      </c>
      <c r="T99" s="2">
        <v>750</v>
      </c>
    </row>
    <row r="100" spans="5:20" x14ac:dyDescent="0.25">
      <c r="E100" s="3" t="s">
        <v>91</v>
      </c>
      <c r="F100" s="4">
        <f>F99+K96/3</f>
        <v>15.221333333333334</v>
      </c>
      <c r="H100" s="4">
        <f>N99-62.503</f>
        <v>9.7730300000000057</v>
      </c>
      <c r="M100" s="4">
        <f>M99+K96/3</f>
        <v>47.281333333333336</v>
      </c>
      <c r="N100" s="4">
        <f>SUM(F100:M100)</f>
        <v>72.275696666666676</v>
      </c>
      <c r="S100" s="2" t="s">
        <v>90</v>
      </c>
      <c r="T100" s="2">
        <v>180</v>
      </c>
    </row>
    <row r="101" spans="5:20" x14ac:dyDescent="0.25">
      <c r="F101" s="7">
        <f>F100/$N$100</f>
        <v>0.21060099086327264</v>
      </c>
      <c r="H101" s="7">
        <f>M100/$N$100</f>
        <v>0.65418025026300908</v>
      </c>
      <c r="M101" s="14">
        <f>H100/$N$100</f>
        <v>0.13521875887371829</v>
      </c>
      <c r="S101" s="2" t="s">
        <v>89</v>
      </c>
      <c r="T101" s="2">
        <v>1500</v>
      </c>
    </row>
    <row r="102" spans="5:20" x14ac:dyDescent="0.25">
      <c r="E102" s="3" t="s">
        <v>88</v>
      </c>
      <c r="F102" s="7"/>
      <c r="G102" s="7"/>
      <c r="H102" s="13">
        <v>40.991365439999996</v>
      </c>
      <c r="S102" s="2"/>
      <c r="T102" s="2"/>
    </row>
    <row r="103" spans="5:20" x14ac:dyDescent="0.25">
      <c r="F103" s="7"/>
      <c r="G103" s="7"/>
      <c r="H103" s="7"/>
      <c r="S103" s="2"/>
      <c r="T103" s="2"/>
    </row>
    <row r="104" spans="5:20" x14ac:dyDescent="0.25">
      <c r="E104" s="3" t="s">
        <v>87</v>
      </c>
      <c r="G104" s="3" t="s">
        <v>86</v>
      </c>
      <c r="H104" s="3">
        <f>ElecBY!F77</f>
        <v>34.200000000000003</v>
      </c>
      <c r="S104" s="2" t="s">
        <v>82</v>
      </c>
      <c r="T104" s="2">
        <v>65</v>
      </c>
    </row>
    <row r="105" spans="5:20" x14ac:dyDescent="0.25">
      <c r="E105" s="3" t="s">
        <v>85</v>
      </c>
      <c r="G105" s="12" t="s">
        <v>84</v>
      </c>
      <c r="H105" s="3">
        <f>G99/H104</f>
        <v>4.8830409356725141E-2</v>
      </c>
      <c r="S105" s="2" t="s">
        <v>82</v>
      </c>
      <c r="T105" s="2">
        <v>360</v>
      </c>
    </row>
    <row r="106" spans="5:20" x14ac:dyDescent="0.25">
      <c r="E106" s="3" t="s">
        <v>83</v>
      </c>
      <c r="H106" s="11">
        <f>H100/H104</f>
        <v>0.28576111111111124</v>
      </c>
      <c r="S106" s="2" t="s">
        <v>82</v>
      </c>
      <c r="T106" s="2">
        <v>240</v>
      </c>
    </row>
    <row r="107" spans="5:20" x14ac:dyDescent="0.25">
      <c r="S107" s="2" t="s">
        <v>81</v>
      </c>
      <c r="T107" s="10">
        <v>1860</v>
      </c>
    </row>
    <row r="109" spans="5:20" x14ac:dyDescent="0.25">
      <c r="E109" s="3" t="s">
        <v>80</v>
      </c>
    </row>
    <row r="111" spans="5:20" x14ac:dyDescent="0.25">
      <c r="E111" s="9" t="s">
        <v>79</v>
      </c>
      <c r="F111" s="3" t="s">
        <v>78</v>
      </c>
    </row>
    <row r="112" spans="5:20" x14ac:dyDescent="0.25">
      <c r="E112" s="3" t="s">
        <v>77</v>
      </c>
      <c r="F112" s="3">
        <v>31.005621000000001</v>
      </c>
    </row>
    <row r="113" spans="5:14" x14ac:dyDescent="0.25">
      <c r="E113" s="3" t="s">
        <v>76</v>
      </c>
      <c r="F113" s="3">
        <v>0.108553</v>
      </c>
    </row>
    <row r="114" spans="5:14" x14ac:dyDescent="0.25">
      <c r="E114" s="3" t="s">
        <v>75</v>
      </c>
      <c r="F114" s="3">
        <v>1.1249999999999999E-3</v>
      </c>
    </row>
    <row r="115" spans="5:14" x14ac:dyDescent="0.25">
      <c r="E115" s="3" t="s">
        <v>74</v>
      </c>
      <c r="F115" s="3">
        <v>3.1538999999999998E-2</v>
      </c>
    </row>
    <row r="116" spans="5:14" x14ac:dyDescent="0.25">
      <c r="E116" s="3" t="s">
        <v>73</v>
      </c>
      <c r="F116" s="3">
        <v>0.32746700000000001</v>
      </c>
    </row>
    <row r="117" spans="5:14" x14ac:dyDescent="0.25">
      <c r="E117" s="3" t="s">
        <v>72</v>
      </c>
      <c r="F117" s="3">
        <v>6.1600000000000001E-4</v>
      </c>
    </row>
    <row r="118" spans="5:14" x14ac:dyDescent="0.25">
      <c r="E118" s="3" t="s">
        <v>71</v>
      </c>
      <c r="F118" s="3">
        <v>1.2408000000000001E-2</v>
      </c>
    </row>
    <row r="119" spans="5:14" x14ac:dyDescent="0.25">
      <c r="E119" s="3" t="s">
        <v>70</v>
      </c>
      <c r="F119" s="3">
        <v>1.0300000000000001E-3</v>
      </c>
    </row>
    <row r="120" spans="5:14" x14ac:dyDescent="0.25">
      <c r="E120" s="3" t="s">
        <v>60</v>
      </c>
      <c r="F120" s="3">
        <f>SUM(F112:F119)</f>
        <v>31.488358999999999</v>
      </c>
    </row>
    <row r="122" spans="5:14" x14ac:dyDescent="0.25">
      <c r="F122" s="3" t="s">
        <v>69</v>
      </c>
      <c r="G122" s="3">
        <v>0.6</v>
      </c>
      <c r="I122" s="3">
        <f>1-G122</f>
        <v>0.4</v>
      </c>
    </row>
    <row r="123" spans="5:14" ht="30" customHeight="1" x14ac:dyDescent="0.25">
      <c r="E123" s="8" t="s">
        <v>68</v>
      </c>
      <c r="F123" s="8" t="s">
        <v>67</v>
      </c>
      <c r="G123" s="8" t="s">
        <v>65</v>
      </c>
      <c r="H123" s="8" t="s">
        <v>66</v>
      </c>
      <c r="I123" s="8" t="s">
        <v>65</v>
      </c>
      <c r="J123" s="8" t="s">
        <v>64</v>
      </c>
      <c r="K123" s="8" t="s">
        <v>63</v>
      </c>
      <c r="L123" s="8" t="s">
        <v>62</v>
      </c>
      <c r="M123" s="8" t="s">
        <v>61</v>
      </c>
    </row>
    <row r="124" spans="5:14" x14ac:dyDescent="0.25">
      <c r="E124" s="3" t="s">
        <v>12</v>
      </c>
      <c r="F124" s="3">
        <f>F112</f>
        <v>31.005621000000001</v>
      </c>
      <c r="G124" s="7">
        <f>F124/$F$130</f>
        <v>0.98466931858849804</v>
      </c>
      <c r="H124" s="3">
        <f>ElecBY!G69</f>
        <v>10.6821</v>
      </c>
      <c r="I124" s="7">
        <f>H124/$H$130</f>
        <v>0.28962751679672039</v>
      </c>
      <c r="J124" s="7">
        <f>I124*$I$122+G124*$G$122</f>
        <v>0.70665259787178702</v>
      </c>
      <c r="K124" s="6">
        <f>J124*$K$130</f>
        <v>33.411477030841922</v>
      </c>
      <c r="L124" s="5">
        <f>K124/H124</f>
        <v>3.1278004353864803</v>
      </c>
      <c r="M124" s="6">
        <f>J124*$M$130</f>
        <v>25.234093168269599</v>
      </c>
      <c r="N124" s="5">
        <f>M124/H124</f>
        <v>2.3622783130910214</v>
      </c>
    </row>
    <row r="125" spans="5:14" x14ac:dyDescent="0.25">
      <c r="E125" s="3" t="s">
        <v>22</v>
      </c>
      <c r="F125" s="3">
        <f>F113</f>
        <v>0.108553</v>
      </c>
      <c r="G125" s="7">
        <f>F125/$F$130</f>
        <v>3.4474009903151825E-3</v>
      </c>
      <c r="H125" s="3">
        <f>ElecBY!G58</f>
        <v>0.91200000000000003</v>
      </c>
      <c r="I125" s="7">
        <f>H125/$H$130</f>
        <v>2.4727375265032998E-2</v>
      </c>
      <c r="J125" s="7">
        <f>I125*$I$122+G125*$G$122</f>
        <v>1.195939070020231E-2</v>
      </c>
      <c r="K125" s="6">
        <f>J125*$K$130</f>
        <v>0.56545593815983219</v>
      </c>
      <c r="L125" s="5">
        <f>K125/H125</f>
        <v>0.62001747605244761</v>
      </c>
      <c r="M125" s="6">
        <f>J125*$M$130</f>
        <v>0.42706186897709103</v>
      </c>
      <c r="N125" s="5">
        <f>M125/H125</f>
        <v>0.46826959317663486</v>
      </c>
    </row>
    <row r="126" spans="5:14" x14ac:dyDescent="0.25">
      <c r="E126" s="3" t="s">
        <v>9</v>
      </c>
      <c r="F126" s="3">
        <f>F115+F114+F118</f>
        <v>4.5072000000000001E-2</v>
      </c>
      <c r="G126" s="7">
        <f>F126/$F$130</f>
        <v>1.4313861195497674E-3</v>
      </c>
      <c r="H126" s="3">
        <f>SUM(ElecBY!G60:G68)+ElecBY!G71</f>
        <v>18.776499999999999</v>
      </c>
      <c r="I126" s="7">
        <f>H126/$H$130</f>
        <v>0.5090938176139167</v>
      </c>
      <c r="J126" s="7">
        <f>I126*$I$122+G126*$G$122</f>
        <v>0.20449635871729657</v>
      </c>
      <c r="K126" s="6">
        <f>J126*$K$130</f>
        <v>9.6688605019654048</v>
      </c>
      <c r="L126" s="5">
        <f>K126/H126</f>
        <v>0.51494477149444284</v>
      </c>
      <c r="M126" s="6">
        <f>J126*$M$130</f>
        <v>7.3024286388888493</v>
      </c>
      <c r="N126" s="5">
        <f>M126/H126</f>
        <v>0.38891319675599018</v>
      </c>
    </row>
    <row r="127" spans="5:14" x14ac:dyDescent="0.25">
      <c r="E127" s="3" t="s">
        <v>20</v>
      </c>
      <c r="F127" s="3">
        <f>F116+F119</f>
        <v>0.32849699999999998</v>
      </c>
      <c r="G127" s="7">
        <f>F127/$F$130</f>
        <v>1.0432331516545526E-2</v>
      </c>
      <c r="H127" s="3">
        <f>ElecBY!G59</f>
        <v>6.0609000000000002</v>
      </c>
      <c r="I127" s="7">
        <f>H127/$H$130</f>
        <v>0.16433130344719135</v>
      </c>
      <c r="J127" s="7">
        <f>I127*$I$122+G127*$G$122</f>
        <v>7.1991920288803857E-2</v>
      </c>
      <c r="K127" s="6">
        <f>J127*$K$130</f>
        <v>3.4038739804816984</v>
      </c>
      <c r="L127" s="5">
        <f>K127/H127</f>
        <v>0.5616119685990032</v>
      </c>
      <c r="M127" s="6">
        <f>J127*$M$130</f>
        <v>2.57078347889966</v>
      </c>
      <c r="N127" s="5">
        <f>M127/H127</f>
        <v>0.42415870232138131</v>
      </c>
    </row>
    <row r="128" spans="5:14" x14ac:dyDescent="0.25">
      <c r="E128" s="3" t="s">
        <v>11</v>
      </c>
      <c r="F128" s="3">
        <f>F117</f>
        <v>6.1600000000000001E-4</v>
      </c>
      <c r="G128" s="7">
        <f>F128/$F$130</f>
        <v>1.9562785091468246E-5</v>
      </c>
      <c r="H128" s="3">
        <f>ElecBY!G70</f>
        <v>0.45069999999999999</v>
      </c>
      <c r="I128" s="7">
        <f>H128/$H$130</f>
        <v>1.2219986877138565E-2</v>
      </c>
      <c r="J128" s="7">
        <f>I128*$I$122+G128*$G$122</f>
        <v>4.8997324219103074E-3</v>
      </c>
      <c r="K128" s="6">
        <f>J128*$K$130</f>
        <v>0.23166588188448189</v>
      </c>
      <c r="L128" s="5">
        <f>K128/H128</f>
        <v>0.51401349430770338</v>
      </c>
      <c r="M128" s="6">
        <f>J128*$M$130</f>
        <v>0.17496617829813579</v>
      </c>
      <c r="N128" s="5">
        <f>M128/H128</f>
        <v>0.38820984756630972</v>
      </c>
    </row>
    <row r="130" spans="5:13" x14ac:dyDescent="0.25">
      <c r="E130" s="3" t="s">
        <v>60</v>
      </c>
      <c r="F130" s="3">
        <f>SUM(F124:F128)</f>
        <v>31.488359000000003</v>
      </c>
      <c r="H130" s="3">
        <f>SUM(H124:H128)</f>
        <v>36.882199999999997</v>
      </c>
      <c r="K130" s="4">
        <f>M100</f>
        <v>47.281333333333336</v>
      </c>
      <c r="M130" s="4">
        <f>M100-(M97-M96)</f>
        <v>35.709333333333333</v>
      </c>
    </row>
  </sheetData>
  <mergeCells count="2">
    <mergeCell ref="G61:J61"/>
    <mergeCell ref="K61:N61"/>
  </mergeCells>
  <hyperlinks>
    <hyperlink ref="AE60" r:id="rId1" xr:uid="{529F30ED-0777-4DA5-8D67-43E4F305A5E8}"/>
    <hyperlink ref="AD64" r:id="rId2" xr:uid="{EE2CDEAD-D101-4B6D-A14E-43A18B34618F}"/>
  </hyperlinks>
  <pageMargins left="0.7" right="0.7" top="0.75" bottom="0.75" header="0.3" footer="0.3"/>
  <pageSetup paperSize="9" orientation="portrait" r:id="rId3"/>
  <drawing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EIA</vt:lpstr>
      <vt:lpstr>TnD</vt:lpstr>
      <vt:lpstr>SAREM_Wind</vt:lpstr>
      <vt:lpstr>SAREM_PV</vt:lpstr>
      <vt:lpstr>NREL</vt:lpstr>
      <vt:lpstr>Nuclear</vt:lpstr>
      <vt:lpstr>CGEActivityInputs</vt:lpstr>
      <vt:lpstr>IEA ETP23 materials</vt:lpstr>
      <vt:lpstr>MaterialInputs</vt:lpstr>
      <vt:lpstr>SAM</vt:lpstr>
      <vt:lpstr>From SAM</vt:lpstr>
      <vt:lpstr>ElecBY</vt:lpstr>
      <vt:lpstr>LabourInputs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cp:lastModifiedBy>Bryce Mc Call</cp:lastModifiedBy>
  <dcterms:created xsi:type="dcterms:W3CDTF">2023-09-08T12:42:41Z</dcterms:created>
  <dcterms:modified xsi:type="dcterms:W3CDTF">2023-11-23T09:52:29Z</dcterms:modified>
</cp:coreProperties>
</file>