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4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5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6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8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9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10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11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2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17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18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19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0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1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2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D32A25DF-DC2F-48B9-8B57-3D7CBD2E37FE}" xr6:coauthVersionLast="47" xr6:coauthVersionMax="47" xr10:uidLastSave="{00000000-0000-0000-0000-000000000000}"/>
  <bookViews>
    <workbookView xWindow="7860" yWindow="4635" windowWidth="20460" windowHeight="14700" tabRatio="796" firstSheet="4" activeTab="19" xr2:uid="{00000000-000D-0000-FFFF-FFFF00000000}"/>
  </bookViews>
  <sheets>
    <sheet name="Production and Capacities" sheetId="62" r:id="rId1"/>
    <sheet name="Emissions" sheetId="63" r:id="rId2"/>
    <sheet name="Energy intensity" sheetId="64" r:id="rId3"/>
    <sheet name="DOE project" sheetId="65" r:id="rId4"/>
    <sheet name="AL roadmap " sheetId="66" r:id="rId5"/>
    <sheet name="ANSv2-692-Home" sheetId="9" r:id="rId6"/>
    <sheet name="Index" sheetId="60" r:id="rId7"/>
    <sheet name="RES" sheetId="52" r:id="rId8"/>
    <sheet name="EB_Exist" sheetId="27" r:id="rId9"/>
    <sheet name="Aluminium Data" sheetId="61" r:id="rId10"/>
    <sheet name="ANSv2-692-REGIONS" sheetId="18" state="veryHidden" r:id="rId11"/>
    <sheet name="ANSv2-692-Commodities" sheetId="19" state="veryHidden" r:id="rId12"/>
    <sheet name="Commodities_BASE" sheetId="68" r:id="rId13"/>
    <sheet name="ANSv2-692-Processes" sheetId="20" state="veryHidden" r:id="rId14"/>
    <sheet name="ANSv2-692-Constraints" sheetId="23" state="veryHidden" r:id="rId15"/>
    <sheet name="ANSv2-692-CommData" sheetId="21" state="veryHidden" r:id="rId16"/>
    <sheet name="CommData_BASE" sheetId="30" r:id="rId17"/>
    <sheet name="Processes_BASE" sheetId="31" r:id="rId18"/>
    <sheet name="ANSv2-692-ProcData" sheetId="25" state="veryHidden" r:id="rId19"/>
    <sheet name="ProcData_ALM" sheetId="56" r:id="rId20"/>
    <sheet name="ProcData_ALM - PAMS" sheetId="67" r:id="rId21"/>
    <sheet name="ANSv2-692-ConstrData" sheetId="24" state="veryHidden" r:id="rId22"/>
    <sheet name="ANSv2-692-ITEMS" sheetId="10" state="veryHidden" r:id="rId23"/>
    <sheet name="ANSv2-692-TS DATA" sheetId="12" state="veryHidden" r:id="rId24"/>
    <sheet name="ANSv2-692-TID DATA" sheetId="13" state="veryHidden" r:id="rId25"/>
    <sheet name="ANSv2-692-TS&amp;TID DATA" sheetId="14" state="veryHidden" r:id="rId26"/>
    <sheet name="ANSv2-692-TS TRADE" sheetId="15" state="veryHidden" r:id="rId27"/>
    <sheet name="ANSv2-692-TID TRADE" sheetId="16" state="veryHidden" r:id="rId28"/>
    <sheet name="ANSv2-692-TS&amp;TID TRADE" sheetId="17" state="veryHidden" r:id="rId29"/>
  </sheets>
  <externalReferences>
    <externalReference r:id="rId30"/>
    <externalReference r:id="rId31"/>
  </externalReference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2" i="56" l="1"/>
  <c r="S7" i="56"/>
  <c r="R7" i="56"/>
  <c r="Q7" i="56"/>
  <c r="F15" i="30"/>
  <c r="D15" i="30"/>
  <c r="D11" i="61" l="1"/>
  <c r="I7" i="67"/>
  <c r="J7" i="67"/>
  <c r="K7" i="67"/>
  <c r="H7" i="67"/>
  <c r="T7" i="56"/>
  <c r="P7" i="56"/>
  <c r="O7" i="56"/>
  <c r="K7" i="56"/>
  <c r="J7" i="56"/>
  <c r="I7" i="56"/>
  <c r="G7" i="56"/>
  <c r="H7" i="56"/>
  <c r="A2" i="56"/>
  <c r="A2" i="68" l="1"/>
  <c r="D7" i="60" s="1"/>
  <c r="A2" i="31"/>
  <c r="B1" i="30"/>
  <c r="C10" i="68"/>
  <c r="B10" i="68"/>
  <c r="C9" i="68"/>
  <c r="B9" i="68"/>
  <c r="C8" i="68"/>
  <c r="B8" i="68"/>
  <c r="J9" i="60" a="1"/>
  <c r="J9" i="60" s="1"/>
  <c r="M14" i="60" l="1"/>
  <c r="E10" i="60"/>
  <c r="F12" i="67"/>
  <c r="E11" i="67"/>
  <c r="J5" i="67" s="1"/>
  <c r="K5" i="67" s="1"/>
  <c r="E10" i="67"/>
  <c r="I5" i="67" s="1"/>
  <c r="E9" i="67"/>
  <c r="D9" i="67"/>
  <c r="C9" i="67"/>
  <c r="B9" i="67"/>
  <c r="A8" i="67"/>
  <c r="H5" i="67"/>
  <c r="A2" i="67"/>
  <c r="D10" i="60" s="1"/>
  <c r="B1" i="67"/>
  <c r="M56" i="66"/>
  <c r="L56" i="66"/>
  <c r="M58" i="66" s="1"/>
  <c r="E15" i="64"/>
  <c r="D15" i="64"/>
  <c r="E14" i="64"/>
  <c r="D14" i="64"/>
  <c r="F14" i="64" s="1"/>
  <c r="E13" i="64"/>
  <c r="D13" i="64"/>
  <c r="F13" i="64" s="1"/>
  <c r="E12" i="64"/>
  <c r="D12" i="64"/>
  <c r="F12" i="64" s="1"/>
  <c r="E11" i="64"/>
  <c r="D11" i="64"/>
  <c r="E10" i="64"/>
  <c r="F10" i="64" s="1"/>
  <c r="D10" i="64"/>
  <c r="E9" i="64"/>
  <c r="D9" i="64"/>
  <c r="F30" i="63"/>
  <c r="F28" i="63"/>
  <c r="I28" i="63" s="1"/>
  <c r="I27" i="63"/>
  <c r="F27" i="63"/>
  <c r="E16" i="62"/>
  <c r="E15" i="62"/>
  <c r="D12" i="62"/>
  <c r="D9" i="62"/>
  <c r="F8" i="62"/>
  <c r="F17" i="62" s="1"/>
  <c r="D8" i="62"/>
  <c r="D17" i="62" s="1"/>
  <c r="D20" i="62" s="1"/>
  <c r="D22" i="62" s="1"/>
  <c r="F9" i="64" l="1"/>
  <c r="H12" i="64" s="1"/>
  <c r="D16" i="64"/>
  <c r="D17" i="64" s="1"/>
  <c r="H13" i="64"/>
  <c r="K13" i="64" s="1"/>
  <c r="F11" i="64"/>
  <c r="F29" i="63"/>
  <c r="F15" i="64"/>
  <c r="H15" i="64" s="1"/>
  <c r="E16" i="64"/>
  <c r="E17" i="64" s="1"/>
  <c r="F36" i="63" l="1"/>
  <c r="H14" i="64"/>
  <c r="F20" i="62"/>
  <c r="F22" i="62" s="1"/>
  <c r="H10" i="64"/>
  <c r="K10" i="64" s="1"/>
  <c r="F34" i="63"/>
  <c r="H11" i="64"/>
  <c r="I11" i="64" s="1"/>
  <c r="K11" i="64" s="1"/>
  <c r="F16" i="64"/>
  <c r="F17" i="64" s="1"/>
  <c r="H16" i="64"/>
  <c r="F35" i="63"/>
  <c r="F41" i="63"/>
  <c r="M36" i="63" s="1"/>
  <c r="K16" i="64" l="1"/>
  <c r="F42" i="63"/>
  <c r="M37" i="63" s="1"/>
  <c r="F39" i="63"/>
  <c r="F38" i="63"/>
  <c r="L10" i="64"/>
  <c r="L13" i="64" l="1"/>
  <c r="L11" i="64"/>
  <c r="D8" i="30" l="1"/>
  <c r="D2" i="61"/>
  <c r="E8" i="30" s="1"/>
  <c r="F8" i="30" s="1"/>
  <c r="G8" i="30" s="1"/>
  <c r="D5" i="61"/>
  <c r="S15" i="56"/>
  <c r="R14" i="56"/>
  <c r="Q13" i="56"/>
  <c r="N5" i="56" l="1"/>
  <c r="N7" i="56" s="1"/>
  <c r="B11" i="27"/>
  <c r="E19" i="61"/>
  <c r="F11" i="27" s="1"/>
  <c r="N12" i="56" s="1"/>
  <c r="E18" i="61"/>
  <c r="F10" i="27" s="1"/>
  <c r="M12" i="56" s="1"/>
  <c r="E17" i="61"/>
  <c r="F9" i="27" s="1"/>
  <c r="L12" i="56" s="1"/>
  <c r="K8" i="27"/>
  <c r="K6" i="27"/>
  <c r="D13" i="61"/>
  <c r="K7" i="27" s="1"/>
  <c r="D12" i="61"/>
  <c r="L28" i="61" l="1"/>
  <c r="J16" i="56" s="1"/>
  <c r="B7" i="27"/>
  <c r="L8" i="61"/>
  <c r="D7" i="61" s="1"/>
  <c r="J12" i="56" s="1"/>
  <c r="I12" i="56" s="1"/>
  <c r="F4" i="27"/>
  <c r="C8" i="30"/>
  <c r="K5" i="27" l="1"/>
  <c r="S11" i="56" l="1"/>
  <c r="J11" i="67" s="1"/>
  <c r="K11" i="67" s="1"/>
  <c r="R10" i="56"/>
  <c r="I10" i="67" s="1"/>
  <c r="Q9" i="56"/>
  <c r="H9" i="67" s="1"/>
  <c r="K4" i="27"/>
  <c r="C13" i="56"/>
  <c r="G12" i="56" l="1"/>
  <c r="I16" i="56"/>
  <c r="D14" i="56"/>
  <c r="D13" i="56"/>
  <c r="D9" i="56"/>
  <c r="D10" i="56"/>
  <c r="D11" i="56"/>
  <c r="B8" i="30"/>
  <c r="B6" i="27"/>
  <c r="A6" i="27"/>
  <c r="A7" i="27"/>
  <c r="B8" i="27"/>
  <c r="A8" i="27"/>
  <c r="AD11" i="27" l="1"/>
  <c r="AD12" i="27" s="1"/>
  <c r="AD8" i="27"/>
  <c r="AD16" i="27"/>
  <c r="AD17" i="27" s="1"/>
  <c r="AD18" i="27" s="1"/>
  <c r="AD19" i="27" s="1"/>
  <c r="M5" i="56"/>
  <c r="M7" i="56" s="1"/>
  <c r="L5" i="56"/>
  <c r="L7" i="56" s="1"/>
  <c r="B10" i="27"/>
  <c r="B9" i="27"/>
  <c r="AD9" i="27"/>
  <c r="AD10" i="27" l="1"/>
  <c r="D15" i="56"/>
  <c r="B13" i="56"/>
  <c r="S5" i="56"/>
  <c r="R5" i="56"/>
  <c r="Q5" i="56"/>
  <c r="I4" i="27" l="1"/>
  <c r="H4" i="27"/>
  <c r="AB5" i="27"/>
  <c r="E8" i="60" l="1"/>
  <c r="E9" i="60"/>
  <c r="E11" i="60"/>
  <c r="D11" i="60"/>
  <c r="D9" i="60"/>
  <c r="A2" i="30"/>
  <c r="E7" i="60"/>
  <c r="D8" i="60" l="1"/>
  <c r="A1" i="68"/>
  <c r="A1" i="31" l="1"/>
  <c r="A1" i="56"/>
  <c r="A1" i="30"/>
  <c r="A1" i="67"/>
  <c r="E16" i="56" l="1"/>
  <c r="E12" i="56"/>
  <c r="A8" i="56"/>
  <c r="I7" i="27"/>
  <c r="H7" i="27"/>
  <c r="B4" i="27"/>
  <c r="A4" i="27"/>
  <c r="C4" i="27"/>
  <c r="C9" i="27" s="1"/>
  <c r="C10" i="27" s="1"/>
  <c r="C11" i="27" s="1"/>
  <c r="P5" i="56" l="1"/>
  <c r="B9" i="56"/>
  <c r="H6" i="27"/>
  <c r="H8" i="27" s="1"/>
  <c r="D4" i="27"/>
  <c r="D9" i="27" s="1"/>
  <c r="D10" i="27" s="1"/>
  <c r="D11" i="27" s="1"/>
  <c r="C9" i="56" l="1"/>
  <c r="I6" i="27"/>
  <c r="I8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Jongikhaya</author>
    <author>Luanne Stevens</author>
  </authors>
  <commentList>
    <comment ref="L16" authorId="0" shapeId="0" xr:uid="{CB22B74E-C251-4739-A681-6F764672E384}">
      <text>
        <r>
          <rPr>
            <b/>
            <sz val="9"/>
            <color indexed="81"/>
            <rFont val="Tahoma"/>
            <family val="2"/>
          </rPr>
          <t>Jongikhaya:</t>
        </r>
        <r>
          <rPr>
            <sz val="9"/>
            <color indexed="81"/>
            <rFont val="Tahoma"/>
            <family val="2"/>
          </rPr>
          <t xml:space="preserve">
All changed to SAR GWPs</t>
        </r>
      </text>
    </comment>
    <comment ref="M16" authorId="1" shapeId="0" xr:uid="{82184CCB-741C-438B-9D85-590F0DCC76D7}">
      <text>
        <r>
          <rPr>
            <sz val="9"/>
            <color indexed="81"/>
            <rFont val="Tahoma"/>
            <family val="2"/>
          </rPr>
          <t>#LS #12/05/2017 #DSR: Please double check these CF and HFC GWP are correct and provide reference.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BF93D808-50A3-4112-98D1-CBF538616B8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A21E3422-1CB1-4388-8557-8C1348C359E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<sst xmlns="http://schemas.openxmlformats.org/spreadsheetml/2006/main" count="686" uniqueCount="390">
  <si>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</si>
  <si>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</si>
  <si>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</si>
  <si>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</si>
  <si>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</si>
  <si>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</si>
  <si>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</si>
  <si>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</si>
  <si>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</si>
  <si>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</si>
  <si>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</si>
  <si>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</si>
  <si>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</si>
  <si>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</si>
  <si>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</si>
  <si>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</si>
  <si>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</si>
  <si>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</si>
  <si>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</si>
  <si>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</si>
  <si>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</si>
  <si>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</si>
  <si>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</si>
  <si>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</si>
  <si>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</si>
  <si>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</si>
  <si>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</si>
  <si>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</si>
  <si>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</si>
  <si>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</si>
  <si>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</si>
  <si>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</si>
  <si>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</si>
  <si>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</si>
  <si>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</si>
  <si>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</si>
  <si>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</si>
  <si>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</si>
  <si>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</si>
  <si>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</si>
  <si>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</si>
  <si>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</si>
  <si>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</si>
  <si>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</si>
  <si>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</si>
  <si>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</si>
  <si>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</si>
  <si>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</si>
  <si>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</si>
  <si>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</si>
  <si>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</si>
  <si>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</si>
  <si>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</si>
  <si>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</si>
  <si>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</si>
  <si>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</si>
  <si>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</si>
  <si>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</si>
  <si>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</si>
  <si>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</si>
  <si>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</si>
  <si>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</si>
  <si>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</si>
  <si>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</si>
  <si>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</si>
  <si>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</si>
  <si>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</si>
  <si>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</si>
  <si>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</si>
  <si>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</si>
  <si>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</si>
  <si>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</si>
  <si>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</si>
  <si>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</si>
  <si>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</si>
  <si>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</si>
  <si>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</si>
  <si>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</si>
  <si>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</si>
  <si>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</si>
  <si>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</si>
  <si>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</si>
  <si>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</si>
  <si>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</si>
  <si>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</si>
  <si>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</si>
  <si>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</si>
  <si>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</si>
  <si>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</si>
  <si>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</si>
  <si>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</si>
  <si>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</si>
  <si>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</si>
  <si>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</si>
  <si>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</si>
  <si>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</si>
  <si>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</si>
  <si>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</si>
  <si>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</si>
  <si>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</si>
  <si>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</si>
  <si>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</si>
  <si>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</si>
  <si>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</si>
  <si>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</si>
  <si>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</si>
  <si>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</si>
  <si>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</si>
  <si>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</si>
  <si>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</si>
  <si>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</si>
  <si>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</si>
  <si>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</si>
  <si>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</si>
  <si>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</si>
  <si>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PJ</t>
  </si>
  <si>
    <t>KT</t>
  </si>
  <si>
    <t>PRC_CAPACT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</si>
  <si>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</si>
  <si>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</si>
  <si>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</si>
  <si>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</si>
  <si>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</si>
  <si>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</si>
  <si>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</si>
  <si>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mt</t>
  </si>
  <si>
    <t>COM_PROJ</t>
  </si>
  <si>
    <t>Producers</t>
  </si>
  <si>
    <t>Tech description</t>
  </si>
  <si>
    <t>Consumers</t>
  </si>
  <si>
    <t>unit</t>
  </si>
  <si>
    <t>value</t>
  </si>
  <si>
    <t>kton</t>
  </si>
  <si>
    <t>Source</t>
  </si>
  <si>
    <t>Commodity Code</t>
  </si>
  <si>
    <t>Tech Code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</si>
  <si>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</si>
  <si>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</si>
  <si>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</si>
  <si>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</si>
  <si>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</si>
  <si>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</si>
  <si>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PRC_RESID</t>
  </si>
  <si>
    <t>Fixed Cost</t>
  </si>
  <si>
    <t>NCAP_FOM</t>
  </si>
  <si>
    <t>Scenario to Import</t>
  </si>
  <si>
    <t>Scenarios</t>
  </si>
  <si>
    <t>BASE</t>
  </si>
  <si>
    <t>Import?</t>
  </si>
  <si>
    <t>Sheets</t>
  </si>
  <si>
    <t>Base Model</t>
  </si>
  <si>
    <t>CV (MJ/kg)</t>
  </si>
  <si>
    <t>LHV</t>
  </si>
  <si>
    <t>2017 Energy/Commodity Balance</t>
  </si>
  <si>
    <t>Exports/Links/Demands</t>
  </si>
  <si>
    <t>CV NH3</t>
  </si>
  <si>
    <t>LHV MJ/kg</t>
  </si>
  <si>
    <t>CV H2</t>
  </si>
  <si>
    <t>kWh/t</t>
  </si>
  <si>
    <t>CO2SP</t>
  </si>
  <si>
    <t>Process Emissions South Africa</t>
  </si>
  <si>
    <t>Hydrogen per unit of ammonia</t>
  </si>
  <si>
    <t>ton H2/ton NH3</t>
  </si>
  <si>
    <t>GJ H2/ton NH3</t>
  </si>
  <si>
    <t>GJ H2/GJ NH3</t>
  </si>
  <si>
    <t>Investment Cost</t>
  </si>
  <si>
    <t>NCAP_COST</t>
  </si>
  <si>
    <t>Emission factor</t>
  </si>
  <si>
    <t>FLO_EMIS-O</t>
  </si>
  <si>
    <t>With Gas turbine</t>
  </si>
  <si>
    <t>Without Gas turbine</t>
  </si>
  <si>
    <t>Eff</t>
  </si>
  <si>
    <t>GJ elc/GJ NH3</t>
  </si>
  <si>
    <t>GJ elc/ton NH3</t>
  </si>
  <si>
    <t>Industry Biochar</t>
  </si>
  <si>
    <t>(existing)</t>
  </si>
  <si>
    <t>XINDBIO</t>
  </si>
  <si>
    <t>NCAP_START</t>
  </si>
  <si>
    <t>IALPOT</t>
  </si>
  <si>
    <t>Aluminium smelters - potlines</t>
  </si>
  <si>
    <t>IALPOTINERT</t>
  </si>
  <si>
    <t>Aluminium smelters - potlines - inert anodes</t>
  </si>
  <si>
    <t>IALM</t>
  </si>
  <si>
    <t>Industry - Aluminium Metal</t>
  </si>
  <si>
    <t>INDGAS</t>
  </si>
  <si>
    <t>INDOLP</t>
  </si>
  <si>
    <t>INFELC</t>
  </si>
  <si>
    <t>Industry-NF-Electricity</t>
  </si>
  <si>
    <t>Industry - Oil LPG</t>
  </si>
  <si>
    <t>Industry - South Africa gas</t>
  </si>
  <si>
    <t>Capacity</t>
  </si>
  <si>
    <t>2020 USD/tonne</t>
  </si>
  <si>
    <t>2015ZAR</t>
  </si>
  <si>
    <t>Existing capacity - potlines</t>
  </si>
  <si>
    <t>Investment cost for new</t>
  </si>
  <si>
    <t>Million Rand /M tonne AL per year</t>
  </si>
  <si>
    <t>From write up</t>
  </si>
  <si>
    <t>2020USD to 2015ZAR</t>
  </si>
  <si>
    <t>https://docs.google.com/document/d/1d0KpDmoA9O87WGOo18fFJIXSv5nsPmBRlRpkID3fPM4/edit?usp=sharing</t>
  </si>
  <si>
    <t>Inert anodes</t>
  </si>
  <si>
    <t>Energy consumption:</t>
  </si>
  <si>
    <t>Elec</t>
  </si>
  <si>
    <t>Gas</t>
  </si>
  <si>
    <t>LPG</t>
  </si>
  <si>
    <t>PJ per Mt</t>
  </si>
  <si>
    <t>Current capacity (existing)</t>
  </si>
  <si>
    <t>PJ/Mt</t>
  </si>
  <si>
    <t>New inert anodes</t>
  </si>
  <si>
    <t>Total</t>
  </si>
  <si>
    <t>CF4</t>
  </si>
  <si>
    <t>CF6</t>
  </si>
  <si>
    <t>ktonnes CO2eq per Mt aluminium</t>
  </si>
  <si>
    <t>CO2 from prebake</t>
  </si>
  <si>
    <t>Emissions (verbatim from old tch sheets)</t>
  </si>
  <si>
    <t>Process Emissions South Africa CF4</t>
  </si>
  <si>
    <t>Process Emissions South Africa CF6</t>
  </si>
  <si>
    <t>ZAR/tonne</t>
  </si>
  <si>
    <t>Production:</t>
  </si>
  <si>
    <t>kt production capacity</t>
  </si>
  <si>
    <t>NCAP_TLIFE</t>
  </si>
  <si>
    <t>Production &amp; consumption</t>
  </si>
  <si>
    <t>Production - kt</t>
  </si>
  <si>
    <t>Primary</t>
  </si>
  <si>
    <t>Semi-fabricated</t>
  </si>
  <si>
    <t>Local consumption -kt</t>
  </si>
  <si>
    <t>Exports - kt</t>
  </si>
  <si>
    <t xml:space="preserve">Rational: </t>
  </si>
  <si>
    <t>Using primary production as the 'driver' as it's either exported or value added thru semi-fabrication (which in itself needs more energy)</t>
  </si>
  <si>
    <t>assumption on AF</t>
  </si>
  <si>
    <t xml:space="preserve">But most energy is used in primary production, and it's emissions too. </t>
  </si>
  <si>
    <t>Inferred total capacity</t>
  </si>
  <si>
    <t>Hillside</t>
  </si>
  <si>
    <t>kt/year</t>
  </si>
  <si>
    <t>https://www.engineeringnews.co.za/print-version/ownership-of-richards-bay-casthouse-changes-hands-2015-09-25</t>
  </si>
  <si>
    <t>Emissions from NIR2017 report</t>
  </si>
  <si>
    <t>Activity - Aluminium tonnes produced</t>
  </si>
  <si>
    <t>Prebake</t>
  </si>
  <si>
    <t>Soderberg</t>
  </si>
  <si>
    <t>CWPB</t>
  </si>
  <si>
    <t>SWPB</t>
  </si>
  <si>
    <t>VSS</t>
  </si>
  <si>
    <t>HSS</t>
  </si>
  <si>
    <t>Emissions factors</t>
  </si>
  <si>
    <t>Conversion factors from NIR2017</t>
  </si>
  <si>
    <t>Unit</t>
  </si>
  <si>
    <t>grouping CF's together</t>
  </si>
  <si>
    <t>GWP</t>
  </si>
  <si>
    <t>CO2</t>
  </si>
  <si>
    <t>tCO2/tonne</t>
  </si>
  <si>
    <t>C2F6</t>
  </si>
  <si>
    <t>tCF4/tonne</t>
  </si>
  <si>
    <t>tC2F6/tonne</t>
  </si>
  <si>
    <t>t</t>
  </si>
  <si>
    <t>CF4+CF6</t>
  </si>
  <si>
    <t>t CO2eq</t>
  </si>
  <si>
    <t>total product (according to DOE project)</t>
  </si>
  <si>
    <t>kt</t>
  </si>
  <si>
    <t>GHG</t>
  </si>
  <si>
    <t>tonnes per kt product</t>
  </si>
  <si>
    <t>Emissions intensity</t>
  </si>
  <si>
    <t>CO2P</t>
  </si>
  <si>
    <t>kt/Mt</t>
  </si>
  <si>
    <t>CF</t>
  </si>
  <si>
    <t>as a gas</t>
  </si>
  <si>
    <t>for PFC</t>
  </si>
  <si>
    <t>Total energy consumption</t>
  </si>
  <si>
    <t>DOE project:</t>
  </si>
  <si>
    <t>Secondary</t>
  </si>
  <si>
    <t>Intensity indexed to primary production</t>
  </si>
  <si>
    <t>Product - t</t>
  </si>
  <si>
    <t>GJ/t</t>
  </si>
  <si>
    <t>shares</t>
  </si>
  <si>
    <t>Electricity</t>
  </si>
  <si>
    <t>Natural Gas</t>
  </si>
  <si>
    <t>CNG</t>
  </si>
  <si>
    <t>Diesel</t>
  </si>
  <si>
    <t>LSO</t>
  </si>
  <si>
    <t>total energy</t>
  </si>
  <si>
    <t xml:space="preserve">This is data from the DOE industry project </t>
  </si>
  <si>
    <t>For 2016:</t>
  </si>
  <si>
    <t>South32</t>
  </si>
  <si>
    <t>liq. AL</t>
  </si>
  <si>
    <t>Smelter</t>
  </si>
  <si>
    <t>Company</t>
  </si>
  <si>
    <t>Status</t>
  </si>
  <si>
    <t>Bayside</t>
  </si>
  <si>
    <t>South32(formerly owned by BHP)</t>
  </si>
  <si>
    <t>Decomissioned in 2014</t>
  </si>
  <si>
    <t>Hilside</t>
  </si>
  <si>
    <t>operating</t>
  </si>
  <si>
    <t>Energy Carrier</t>
  </si>
  <si>
    <t>Qty</t>
  </si>
  <si>
    <t>Qty (alternative)</t>
  </si>
  <si>
    <t>37 493 633 GJ</t>
  </si>
  <si>
    <t>10 415 GWh</t>
  </si>
  <si>
    <t>Natural gas</t>
  </si>
  <si>
    <t>1 659 495 GJ</t>
  </si>
  <si>
    <r>
      <t>40 475 492 m</t>
    </r>
    <r>
      <rPr>
        <vertAlign val="superscript"/>
        <sz val="10"/>
        <color theme="1"/>
        <rFont val="Calibri"/>
        <family val="2"/>
        <scheme val="minor"/>
      </rPr>
      <t>3</t>
    </r>
  </si>
  <si>
    <t>1 819 579 GJ</t>
  </si>
  <si>
    <t>39 729 tons</t>
  </si>
  <si>
    <t>Compressed natural gas (CNG)</t>
  </si>
  <si>
    <t>155 533 GJ</t>
  </si>
  <si>
    <t>3 134 tons</t>
  </si>
  <si>
    <t>Low sulphur oil (LSO)</t>
  </si>
  <si>
    <t>109 929 GJ</t>
  </si>
  <si>
    <t>2 701 tons</t>
  </si>
  <si>
    <t>85 351 GJ</t>
  </si>
  <si>
    <t>2 240 179 litres</t>
  </si>
  <si>
    <t>Production output [tonnes]</t>
  </si>
  <si>
    <t>Total Energy [GJ]</t>
  </si>
  <si>
    <t>Energy Intensity [GJ/t]</t>
  </si>
  <si>
    <t>Route 1</t>
  </si>
  <si>
    <t>Primary - Ingot - Export</t>
  </si>
  <si>
    <t>Route 2</t>
  </si>
  <si>
    <t>Primary - Slab - Rolled</t>
  </si>
  <si>
    <t>Route 3</t>
  </si>
  <si>
    <t>Primary - Ingot - Slab - Rolled</t>
  </si>
  <si>
    <t>Route 4</t>
  </si>
  <si>
    <t>Secondary - Slab - Rolled</t>
  </si>
  <si>
    <t>Route 5</t>
  </si>
  <si>
    <t>Primary - Ingot - Extruded</t>
  </si>
  <si>
    <t>Route 6</t>
  </si>
  <si>
    <t>Secondary - Extruded</t>
  </si>
  <si>
    <t>Primary Production</t>
  </si>
  <si>
    <t>Total Production [t]</t>
  </si>
  <si>
    <t>Total [GJ]</t>
  </si>
  <si>
    <t>Process Heating</t>
  </si>
  <si>
    <t>Process Cooling</t>
  </si>
  <si>
    <t>Electrochemical</t>
  </si>
  <si>
    <t>Machine Drive</t>
  </si>
  <si>
    <t>Other</t>
  </si>
  <si>
    <t>Buildings</t>
  </si>
  <si>
    <t>Transport</t>
  </si>
  <si>
    <t>Secondary Production</t>
  </si>
  <si>
    <t>From The south African Aluminium industry roadmap, 2017, DST + CSIR</t>
  </si>
  <si>
    <t>Primary AL production - kt</t>
  </si>
  <si>
    <t>Semi-frabricated</t>
  </si>
  <si>
    <t>Produced</t>
  </si>
  <si>
    <t>Local consump</t>
  </si>
  <si>
    <t>Semi-fab</t>
  </si>
  <si>
    <t>Vision:</t>
  </si>
  <si>
    <t>Primary export</t>
  </si>
  <si>
    <t>Semi-fab export</t>
  </si>
  <si>
    <t>Less primary AL should be exported and more should be used locally</t>
  </si>
  <si>
    <t>In</t>
  </si>
  <si>
    <t>out</t>
  </si>
  <si>
    <t>fabricators</t>
  </si>
  <si>
    <t>EOL</t>
  </si>
  <si>
    <t>final prod.</t>
  </si>
  <si>
    <t>Exp</t>
  </si>
  <si>
    <t>PAMS</t>
  </si>
  <si>
    <t>Is on?</t>
  </si>
  <si>
    <t>Level</t>
  </si>
  <si>
    <t>Low</t>
  </si>
  <si>
    <t>High</t>
  </si>
  <si>
    <t>need a description</t>
  </si>
  <si>
    <t>by 2030</t>
  </si>
  <si>
    <t>on elec processes</t>
  </si>
  <si>
    <t>selected</t>
  </si>
  <si>
    <t>~FI_Comm</t>
  </si>
  <si>
    <t>Csets</t>
  </si>
  <si>
    <t>CTSLvl</t>
  </si>
  <si>
    <t>PeakTS</t>
  </si>
  <si>
    <t>Ctype</t>
  </si>
  <si>
    <t>DAYNITE</t>
  </si>
  <si>
    <t>ELC</t>
  </si>
  <si>
    <t xml:space="preserve"> 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</si>
  <si>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</si>
  <si>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</si>
  <si>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</si>
  <si>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</si>
  <si>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</si>
  <si>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</si>
  <si>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</si>
  <si>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</si>
  <si>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</si>
  <si>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</si>
  <si>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~FI_T</t>
  </si>
  <si>
    <t>*TechDesc</t>
  </si>
  <si>
    <t>Comm-IN</t>
  </si>
  <si>
    <t>Comm-OUT</t>
  </si>
  <si>
    <t>Attribute</t>
  </si>
  <si>
    <t>*Unit</t>
  </si>
  <si>
    <t>Demand Commodity Name</t>
  </si>
  <si>
    <t>Demand Unit</t>
  </si>
  <si>
    <t>Demand Value</t>
  </si>
  <si>
    <t>Demand</t>
  </si>
  <si>
    <t>*Commgrp</t>
  </si>
  <si>
    <t>NCAP_AF</t>
  </si>
  <si>
    <t>ACT_BND~LO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</si>
</sst>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.0000_-;\-* #,##0.0000_-;_-* &quot;-&quot;??_-;_-@_-"/>
    <numFmt numFmtId="167" formatCode="0.0%"/>
    <numFmt numFmtId="168" formatCode="_-* #,##0_-;\-* #,##0_-;_-* &quot;-&quot;??_-;_-@_-"/>
    <numFmt numFmtId="169" formatCode="_-* #,##0.000_-;\-* #,##0.000_-;_-* &quot;-&quot;??_-;_-@_-"/>
    <numFmt numFmtId="170" formatCode="0.0"/>
    <numFmt numFmtId="171" formatCode="_ * #,##0.00_ ;_ * \-#,##0.00_ ;_ * &quot;-&quot;??_ ;_ @_ "/>
    <numFmt numFmtId="172" formatCode="_ * #,##0_ ;_ * \-#,##0_ ;_ * &quot;-&quot;??_ ;_ @_ "/>
    <numFmt numFmtId="173" formatCode="#,##0.0"/>
    <numFmt numFmtId="174" formatCode="\Te\x\t"/>
  </numFmts>
  <fonts count="6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name val="Verdana"/>
      <family val="2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  <charset val="238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96C8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2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4" borderId="0" applyNumberFormat="0" applyBorder="0" applyAlignment="0" applyProtection="0"/>
    <xf numFmtId="0" fontId="42" fillId="5" borderId="16" applyNumberFormat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7" fillId="7" borderId="0" applyAlignment="0" applyProtection="0"/>
    <xf numFmtId="0" fontId="40" fillId="0" borderId="0" applyNumberFormat="0" applyFill="0" applyBorder="0" applyAlignment="0" applyProtection="0"/>
  </cellStyleXfs>
  <cellXfs count="212">
    <xf numFmtId="0" fontId="0" fillId="0" borderId="0" xfId="0"/>
    <xf numFmtId="0" fontId="13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/>
    <xf numFmtId="0" fontId="15" fillId="0" borderId="0" xfId="0" applyFont="1" applyAlignment="1">
      <alignment horizontal="center" wrapText="1"/>
    </xf>
    <xf numFmtId="0" fontId="13" fillId="0" borderId="0" xfId="1" applyFont="1"/>
    <xf numFmtId="0" fontId="19" fillId="0" borderId="0" xfId="1"/>
    <xf numFmtId="0" fontId="16" fillId="0" borderId="0" xfId="1" applyFont="1"/>
    <xf numFmtId="0" fontId="22" fillId="0" borderId="0" xfId="1" applyFont="1"/>
    <xf numFmtId="0" fontId="15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7" fillId="0" borderId="0" xfId="1" applyFont="1"/>
    <xf numFmtId="0" fontId="24" fillId="0" borderId="0" xfId="1" applyFont="1"/>
    <xf numFmtId="0" fontId="25" fillId="0" borderId="0" xfId="1" applyFont="1"/>
    <xf numFmtId="49" fontId="24" fillId="0" borderId="0" xfId="0" applyNumberFormat="1" applyFont="1" applyAlignment="1">
      <alignment horizontal="left"/>
    </xf>
    <xf numFmtId="0" fontId="26" fillId="0" borderId="0" xfId="1" applyFont="1"/>
    <xf numFmtId="0" fontId="20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 wrapText="1"/>
    </xf>
    <xf numFmtId="0" fontId="22" fillId="0" borderId="0" xfId="0" applyFont="1"/>
    <xf numFmtId="0" fontId="25" fillId="3" borderId="0" xfId="0" applyFont="1" applyFill="1"/>
    <xf numFmtId="0" fontId="25" fillId="3" borderId="0" xfId="1" applyFont="1" applyFill="1"/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6" fillId="0" borderId="0" xfId="3" applyFont="1"/>
    <xf numFmtId="0" fontId="16" fillId="0" borderId="0" xfId="2" applyFont="1"/>
    <xf numFmtId="0" fontId="19" fillId="0" borderId="0" xfId="3"/>
    <xf numFmtId="0" fontId="26" fillId="0" borderId="0" xfId="2" applyFont="1"/>
    <xf numFmtId="0" fontId="30" fillId="0" borderId="0" xfId="3" applyFont="1"/>
    <xf numFmtId="0" fontId="30" fillId="0" borderId="0" xfId="1" applyFont="1"/>
    <xf numFmtId="0" fontId="29" fillId="0" borderId="0" xfId="1" applyFont="1"/>
    <xf numFmtId="0" fontId="16" fillId="0" borderId="0" xfId="2" applyFont="1" applyAlignment="1">
      <alignment horizontal="right"/>
    </xf>
    <xf numFmtId="0" fontId="25" fillId="0" borderId="0" xfId="2" applyFont="1"/>
    <xf numFmtId="0" fontId="26" fillId="0" borderId="0" xfId="0" applyFont="1"/>
    <xf numFmtId="0" fontId="11" fillId="0" borderId="0" xfId="12"/>
    <xf numFmtId="0" fontId="28" fillId="0" borderId="0" xfId="12" applyFont="1"/>
    <xf numFmtId="0" fontId="11" fillId="0" borderId="5" xfId="12" applyBorder="1" applyAlignment="1">
      <alignment horizontal="center"/>
    </xf>
    <xf numFmtId="0" fontId="11" fillId="0" borderId="0" xfId="12" applyAlignment="1">
      <alignment horizontal="center"/>
    </xf>
    <xf numFmtId="0" fontId="11" fillId="0" borderId="14" xfId="12" applyBorder="1" applyAlignment="1">
      <alignment horizontal="center"/>
    </xf>
    <xf numFmtId="0" fontId="11" fillId="0" borderId="4" xfId="12" applyBorder="1" applyAlignment="1">
      <alignment horizontal="center"/>
    </xf>
    <xf numFmtId="0" fontId="11" fillId="0" borderId="9" xfId="12" applyBorder="1" applyAlignment="1">
      <alignment horizontal="center"/>
    </xf>
    <xf numFmtId="0" fontId="11" fillId="0" borderId="4" xfId="12" applyBorder="1"/>
    <xf numFmtId="0" fontId="11" fillId="0" borderId="14" xfId="12" applyBorder="1"/>
    <xf numFmtId="0" fontId="11" fillId="0" borderId="8" xfId="12" applyBorder="1" applyAlignment="1">
      <alignment horizontal="center"/>
    </xf>
    <xf numFmtId="0" fontId="11" fillId="0" borderId="10" xfId="12" applyBorder="1" applyAlignment="1">
      <alignment horizontal="center"/>
    </xf>
    <xf numFmtId="0" fontId="11" fillId="0" borderId="3" xfId="12" applyBorder="1" applyAlignment="1">
      <alignment horizontal="center"/>
    </xf>
    <xf numFmtId="0" fontId="11" fillId="0" borderId="1" xfId="12" applyBorder="1" applyAlignment="1">
      <alignment horizontal="center"/>
    </xf>
    <xf numFmtId="0" fontId="11" fillId="0" borderId="6" xfId="12" applyBorder="1" applyAlignment="1">
      <alignment horizontal="center"/>
    </xf>
    <xf numFmtId="0" fontId="35" fillId="0" borderId="15" xfId="12" applyFont="1" applyBorder="1" applyAlignment="1">
      <alignment horizontal="center"/>
    </xf>
    <xf numFmtId="0" fontId="11" fillId="0" borderId="5" xfId="12" applyBorder="1"/>
    <xf numFmtId="0" fontId="11" fillId="0" borderId="15" xfId="12" applyBorder="1" applyAlignment="1">
      <alignment horizontal="center"/>
    </xf>
    <xf numFmtId="0" fontId="11" fillId="0" borderId="12" xfId="12" applyBorder="1" applyAlignment="1">
      <alignment horizontal="center"/>
    </xf>
    <xf numFmtId="0" fontId="33" fillId="0" borderId="0" xfId="12" applyFont="1"/>
    <xf numFmtId="0" fontId="35" fillId="0" borderId="0" xfId="12" applyFont="1"/>
    <xf numFmtId="0" fontId="32" fillId="0" borderId="0" xfId="12" applyFont="1"/>
    <xf numFmtId="0" fontId="34" fillId="0" borderId="0" xfId="12" applyFont="1"/>
    <xf numFmtId="0" fontId="32" fillId="0" borderId="14" xfId="12" applyFont="1" applyBorder="1" applyAlignment="1">
      <alignment horizontal="center"/>
    </xf>
    <xf numFmtId="0" fontId="36" fillId="0" borderId="0" xfId="12" applyFont="1"/>
    <xf numFmtId="0" fontId="11" fillId="0" borderId="5" xfId="12" applyBorder="1" applyAlignment="1">
      <alignment horizontal="center" textRotation="90"/>
    </xf>
    <xf numFmtId="0" fontId="11" fillId="0" borderId="4" xfId="12" applyBorder="1" applyAlignment="1">
      <alignment horizontal="center" textRotation="90"/>
    </xf>
    <xf numFmtId="0" fontId="11" fillId="0" borderId="0" xfId="12" applyAlignment="1">
      <alignment horizontal="center" textRotation="90"/>
    </xf>
    <xf numFmtId="0" fontId="19" fillId="0" borderId="0" xfId="0" applyFont="1"/>
    <xf numFmtId="0" fontId="10" fillId="0" borderId="5" xfId="12" applyFont="1" applyBorder="1" applyAlignment="1">
      <alignment horizontal="center" textRotation="90"/>
    </xf>
    <xf numFmtId="166" fontId="16" fillId="0" borderId="0" xfId="2" applyNumberFormat="1" applyFont="1"/>
    <xf numFmtId="0" fontId="39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9" fillId="0" borderId="0" xfId="19" applyBorder="1"/>
    <xf numFmtId="0" fontId="0" fillId="0" borderId="1" xfId="0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2" fontId="0" fillId="0" borderId="2" xfId="0" applyNumberFormat="1" applyBorder="1"/>
    <xf numFmtId="0" fontId="19" fillId="0" borderId="2" xfId="0" applyFont="1" applyBorder="1"/>
    <xf numFmtId="0" fontId="0" fillId="0" borderId="13" xfId="0" applyBorder="1"/>
    <xf numFmtId="0" fontId="0" fillId="0" borderId="11" xfId="0" applyBorder="1"/>
    <xf numFmtId="0" fontId="19" fillId="0" borderId="11" xfId="0" applyFont="1" applyBorder="1"/>
    <xf numFmtId="0" fontId="0" fillId="0" borderId="12" xfId="0" applyBorder="1"/>
    <xf numFmtId="2" fontId="16" fillId="0" borderId="0" xfId="0" applyNumberFormat="1" applyFont="1"/>
    <xf numFmtId="0" fontId="25" fillId="0" borderId="0" xfId="2" applyFont="1" applyAlignment="1">
      <alignment wrapText="1"/>
    </xf>
    <xf numFmtId="167" fontId="0" fillId="0" borderId="3" xfId="18" applyNumberFormat="1" applyFont="1" applyBorder="1"/>
    <xf numFmtId="0" fontId="16" fillId="0" borderId="0" xfId="2" applyFont="1" applyAlignment="1">
      <alignment wrapText="1"/>
    </xf>
    <xf numFmtId="165" fontId="16" fillId="0" borderId="0" xfId="0" applyNumberFormat="1" applyFont="1"/>
    <xf numFmtId="165" fontId="16" fillId="0" borderId="0" xfId="0" applyNumberFormat="1" applyFont="1" applyAlignment="1">
      <alignment horizontal="center"/>
    </xf>
    <xf numFmtId="0" fontId="42" fillId="5" borderId="16" xfId="22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2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5" xfId="12" applyFont="1" applyBorder="1" applyAlignment="1">
      <alignment horizontal="center" textRotation="90"/>
    </xf>
    <xf numFmtId="0" fontId="40" fillId="0" borderId="19" xfId="20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1" fillId="0" borderId="13" xfId="12" applyBorder="1" applyAlignment="1">
      <alignment horizontal="center"/>
    </xf>
    <xf numFmtId="165" fontId="19" fillId="0" borderId="5" xfId="0" applyNumberFormat="1" applyFont="1" applyBorder="1"/>
    <xf numFmtId="165" fontId="19" fillId="0" borderId="2" xfId="0" applyNumberFormat="1" applyFont="1" applyBorder="1"/>
    <xf numFmtId="2" fontId="19" fillId="0" borderId="11" xfId="0" applyNumberFormat="1" applyFont="1" applyBorder="1"/>
    <xf numFmtId="0" fontId="19" fillId="0" borderId="3" xfId="0" applyFont="1" applyBorder="1"/>
    <xf numFmtId="0" fontId="7" fillId="0" borderId="5" xfId="12" applyFont="1" applyBorder="1" applyAlignment="1">
      <alignment horizontal="center" textRotation="90"/>
    </xf>
    <xf numFmtId="2" fontId="19" fillId="0" borderId="2" xfId="0" applyNumberFormat="1" applyFont="1" applyBorder="1"/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9" fillId="0" borderId="13" xfId="0" applyFont="1" applyBorder="1"/>
    <xf numFmtId="2" fontId="41" fillId="4" borderId="11" xfId="21" applyNumberFormat="1" applyBorder="1"/>
    <xf numFmtId="0" fontId="5" fillId="0" borderId="5" xfId="12" applyFont="1" applyBorder="1" applyAlignment="1">
      <alignment horizontal="center" textRotation="90"/>
    </xf>
    <xf numFmtId="0" fontId="4" fillId="0" borderId="5" xfId="12" applyFont="1" applyBorder="1" applyAlignment="1">
      <alignment horizontal="center" textRotation="90"/>
    </xf>
    <xf numFmtId="0" fontId="4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41" fillId="4" borderId="0" xfId="21" applyAlignment="1">
      <alignment horizontal="center"/>
    </xf>
    <xf numFmtId="0" fontId="41" fillId="4" borderId="0" xfId="21"/>
    <xf numFmtId="0" fontId="3" fillId="0" borderId="9" xfId="12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0" fontId="3" fillId="0" borderId="5" xfId="12" applyFont="1" applyBorder="1" applyAlignment="1">
      <alignment horizontal="center" textRotation="90"/>
    </xf>
    <xf numFmtId="0" fontId="2" fillId="0" borderId="5" xfId="12" applyFont="1" applyBorder="1" applyAlignment="1">
      <alignment horizontal="center" textRotation="90"/>
    </xf>
    <xf numFmtId="0" fontId="19" fillId="0" borderId="4" xfId="0" applyFont="1" applyBorder="1"/>
    <xf numFmtId="0" fontId="43" fillId="0" borderId="4" xfId="23" applyBorder="1"/>
    <xf numFmtId="0" fontId="44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46" fillId="0" borderId="0" xfId="0" applyFont="1"/>
    <xf numFmtId="165" fontId="0" fillId="0" borderId="0" xfId="0" applyNumberFormat="1"/>
    <xf numFmtId="0" fontId="48" fillId="0" borderId="7" xfId="24" applyFont="1" applyBorder="1"/>
    <xf numFmtId="0" fontId="1" fillId="0" borderId="7" xfId="24" applyBorder="1"/>
    <xf numFmtId="0" fontId="1" fillId="0" borderId="0" xfId="24"/>
    <xf numFmtId="0" fontId="28" fillId="0" borderId="0" xfId="24" applyFont="1"/>
    <xf numFmtId="9" fontId="1" fillId="0" borderId="0" xfId="24" applyNumberFormat="1"/>
    <xf numFmtId="0" fontId="49" fillId="0" borderId="0" xfId="25"/>
    <xf numFmtId="0" fontId="1" fillId="0" borderId="1" xfId="24" applyBorder="1"/>
    <xf numFmtId="0" fontId="1" fillId="0" borderId="2" xfId="24" applyBorder="1"/>
    <xf numFmtId="0" fontId="1" fillId="0" borderId="3" xfId="24" applyBorder="1"/>
    <xf numFmtId="0" fontId="1" fillId="0" borderId="4" xfId="24" applyBorder="1"/>
    <xf numFmtId="0" fontId="1" fillId="0" borderId="5" xfId="24" applyBorder="1"/>
    <xf numFmtId="0" fontId="1" fillId="6" borderId="0" xfId="24" applyFill="1"/>
    <xf numFmtId="1" fontId="1" fillId="6" borderId="0" xfId="24" applyNumberFormat="1" applyFill="1"/>
    <xf numFmtId="168" fontId="0" fillId="6" borderId="0" xfId="26" applyNumberFormat="1" applyFont="1" applyFill="1" applyBorder="1"/>
    <xf numFmtId="0" fontId="47" fillId="7" borderId="0" xfId="27"/>
    <xf numFmtId="0" fontId="1" fillId="8" borderId="0" xfId="24" applyFill="1"/>
    <xf numFmtId="0" fontId="1" fillId="9" borderId="0" xfId="24" applyFill="1"/>
    <xf numFmtId="43" fontId="1" fillId="0" borderId="0" xfId="24" applyNumberFormat="1"/>
    <xf numFmtId="168" fontId="1" fillId="0" borderId="0" xfId="24" applyNumberFormat="1"/>
    <xf numFmtId="0" fontId="1" fillId="0" borderId="6" xfId="24" applyBorder="1"/>
    <xf numFmtId="0" fontId="1" fillId="0" borderId="8" xfId="24" applyBorder="1"/>
    <xf numFmtId="0" fontId="1" fillId="3" borderId="0" xfId="24" applyFill="1"/>
    <xf numFmtId="168" fontId="1" fillId="3" borderId="0" xfId="24" applyNumberFormat="1" applyFill="1"/>
    <xf numFmtId="169" fontId="1" fillId="0" borderId="0" xfId="24" applyNumberFormat="1"/>
    <xf numFmtId="0" fontId="52" fillId="10" borderId="0" xfId="24" applyFont="1" applyFill="1"/>
    <xf numFmtId="168" fontId="0" fillId="0" borderId="0" xfId="26" applyNumberFormat="1" applyFont="1"/>
    <xf numFmtId="168" fontId="0" fillId="3" borderId="0" xfId="26" applyNumberFormat="1" applyFont="1" applyFill="1"/>
    <xf numFmtId="0" fontId="52" fillId="10" borderId="10" xfId="24" applyFont="1" applyFill="1" applyBorder="1"/>
    <xf numFmtId="170" fontId="1" fillId="0" borderId="0" xfId="24" applyNumberFormat="1"/>
    <xf numFmtId="171" fontId="53" fillId="0" borderId="20" xfId="24" applyNumberFormat="1" applyFont="1" applyBorder="1"/>
    <xf numFmtId="165" fontId="1" fillId="0" borderId="0" xfId="24" applyNumberFormat="1"/>
    <xf numFmtId="172" fontId="53" fillId="0" borderId="20" xfId="24" applyNumberFormat="1" applyFont="1" applyBorder="1"/>
    <xf numFmtId="0" fontId="52" fillId="10" borderId="14" xfId="24" applyFont="1" applyFill="1" applyBorder="1"/>
    <xf numFmtId="171" fontId="1" fillId="0" borderId="0" xfId="24" applyNumberFormat="1"/>
    <xf numFmtId="0" fontId="54" fillId="0" borderId="21" xfId="24" applyFont="1" applyBorder="1" applyAlignment="1">
      <alignment horizontal="justify" vertical="center" wrapText="1"/>
    </xf>
    <xf numFmtId="0" fontId="54" fillId="0" borderId="22" xfId="24" applyFont="1" applyBorder="1" applyAlignment="1">
      <alignment horizontal="center" vertical="center" wrapText="1"/>
    </xf>
    <xf numFmtId="0" fontId="54" fillId="0" borderId="23" xfId="24" applyFont="1" applyBorder="1" applyAlignment="1">
      <alignment horizontal="justify" vertical="center" wrapText="1"/>
    </xf>
    <xf numFmtId="0" fontId="54" fillId="0" borderId="24" xfId="24" applyFont="1" applyBorder="1" applyAlignment="1">
      <alignment horizontal="right" vertical="center" wrapText="1"/>
    </xf>
    <xf numFmtId="0" fontId="28" fillId="11" borderId="10" xfId="24" applyFont="1" applyFill="1" applyBorder="1" applyAlignment="1">
      <alignment wrapText="1"/>
    </xf>
    <xf numFmtId="0" fontId="56" fillId="12" borderId="10" xfId="24" applyFont="1" applyFill="1" applyBorder="1" applyAlignment="1">
      <alignment wrapText="1"/>
    </xf>
    <xf numFmtId="0" fontId="56" fillId="13" borderId="10" xfId="24" applyFont="1" applyFill="1" applyBorder="1" applyAlignment="1">
      <alignment wrapText="1"/>
    </xf>
    <xf numFmtId="0" fontId="57" fillId="14" borderId="10" xfId="24" applyFont="1" applyFill="1" applyBorder="1" applyAlignment="1">
      <alignment wrapText="1"/>
    </xf>
    <xf numFmtId="0" fontId="28" fillId="11" borderId="10" xfId="24" applyFont="1" applyFill="1" applyBorder="1"/>
    <xf numFmtId="3" fontId="56" fillId="12" borderId="10" xfId="24" applyNumberFormat="1" applyFont="1" applyFill="1" applyBorder="1"/>
    <xf numFmtId="3" fontId="56" fillId="13" borderId="10" xfId="24" applyNumberFormat="1" applyFont="1" applyFill="1" applyBorder="1"/>
    <xf numFmtId="173" fontId="57" fillId="14" borderId="10" xfId="24" applyNumberFormat="1" applyFont="1" applyFill="1" applyBorder="1"/>
    <xf numFmtId="0" fontId="52" fillId="15" borderId="4" xfId="24" applyFont="1" applyFill="1" applyBorder="1"/>
    <xf numFmtId="0" fontId="52" fillId="15" borderId="5" xfId="24" applyFont="1" applyFill="1" applyBorder="1"/>
    <xf numFmtId="0" fontId="52" fillId="11" borderId="4" xfId="24" applyFont="1" applyFill="1" applyBorder="1"/>
    <xf numFmtId="0" fontId="52" fillId="11" borderId="5" xfId="24" applyFont="1" applyFill="1" applyBorder="1"/>
    <xf numFmtId="0" fontId="58" fillId="0" borderId="0" xfId="24" applyFont="1"/>
    <xf numFmtId="0" fontId="52" fillId="0" borderId="0" xfId="24" applyFont="1"/>
    <xf numFmtId="3" fontId="52" fillId="3" borderId="0" xfId="24" applyNumberFormat="1" applyFont="1" applyFill="1"/>
    <xf numFmtId="0" fontId="56" fillId="16" borderId="0" xfId="24" applyFont="1" applyFill="1"/>
    <xf numFmtId="0" fontId="57" fillId="0" borderId="0" xfId="24" applyFont="1"/>
    <xf numFmtId="0" fontId="57" fillId="10" borderId="10" xfId="24" applyFont="1" applyFill="1" applyBorder="1"/>
    <xf numFmtId="0" fontId="57" fillId="10" borderId="0" xfId="24" applyFont="1" applyFill="1"/>
    <xf numFmtId="3" fontId="52" fillId="17" borderId="10" xfId="24" applyNumberFormat="1" applyFont="1" applyFill="1" applyBorder="1"/>
    <xf numFmtId="3" fontId="57" fillId="18" borderId="0" xfId="24" applyNumberFormat="1" applyFont="1" applyFill="1"/>
    <xf numFmtId="3" fontId="56" fillId="19" borderId="0" xfId="24" applyNumberFormat="1" applyFont="1" applyFill="1"/>
    <xf numFmtId="9" fontId="0" fillId="0" borderId="0" xfId="0" applyNumberFormat="1"/>
    <xf numFmtId="167" fontId="0" fillId="0" borderId="0" xfId="0" applyNumberFormat="1"/>
    <xf numFmtId="0" fontId="15" fillId="0" borderId="0" xfId="2" applyFont="1"/>
    <xf numFmtId="0" fontId="19" fillId="0" borderId="0" xfId="2"/>
    <xf numFmtId="174" fontId="40" fillId="0" borderId="0" xfId="28" applyNumberFormat="1" applyFill="1"/>
    <xf numFmtId="0" fontId="40" fillId="0" borderId="0" xfId="28" applyFill="1"/>
    <xf numFmtId="174" fontId="40" fillId="0" borderId="2" xfId="28" applyNumberFormat="1" applyFill="1" applyBorder="1" applyAlignment="1">
      <alignment horizontal="left"/>
    </xf>
    <xf numFmtId="0" fontId="24" fillId="0" borderId="0" xfId="2" applyFont="1" applyAlignment="1">
      <alignment horizontal="center"/>
    </xf>
    <xf numFmtId="0" fontId="15" fillId="0" borderId="0" xfId="2" applyFont="1" applyAlignment="1">
      <alignment horizontal="center" wrapText="1"/>
    </xf>
    <xf numFmtId="0" fontId="40" fillId="0" borderId="0" xfId="28"/>
    <xf numFmtId="0" fontId="0" fillId="20" borderId="0" xfId="0" applyFill="1"/>
    <xf numFmtId="0" fontId="28" fillId="20" borderId="0" xfId="0" applyFont="1" applyFill="1"/>
    <xf numFmtId="0" fontId="59" fillId="0" borderId="0" xfId="3" applyFont="1"/>
    <xf numFmtId="166" fontId="0" fillId="20" borderId="0" xfId="0" applyNumberFormat="1" applyFill="1"/>
  </cellXfs>
  <cellStyles count="29">
    <cellStyle name="Bad" xfId="21" builtinId="27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6" xr:uid="{1FA051D0-D2C7-445A-B731-C3BCB267FBC5}"/>
    <cellStyle name="Heading 2" xfId="19" builtinId="17"/>
    <cellStyle name="Heading 3" xfId="20" builtinId="18"/>
    <cellStyle name="Heading 4" xfId="28" builtinId="19"/>
    <cellStyle name="Hyperlink" xfId="23" builtinId="8"/>
    <cellStyle name="Hyperlink 2" xfId="11" xr:uid="{00000000-0005-0000-0000-000003000000}"/>
    <cellStyle name="Hyperlink 3" xfId="25" xr:uid="{E4E7201E-7345-4575-B8D9-D8B42CF80FD2}"/>
    <cellStyle name="Input" xfId="22" builtinId="20"/>
    <cellStyle name="IPCC" xfId="27" xr:uid="{B1135A68-761A-4395-B6F2-BE5E41B7C3F1}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4" xr:uid="{05B487BF-8CD5-4BE3-AEC0-AE80C5906963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8.emf"/><Relationship Id="rId1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5.emf"/><Relationship Id="rId1" Type="http://schemas.openxmlformats.org/officeDocument/2006/relationships/image" Target="../media/image26.emf"/><Relationship Id="rId5" Type="http://schemas.openxmlformats.org/officeDocument/2006/relationships/image" Target="../media/image27.emf"/><Relationship Id="rId4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Relationship Id="rId5" Type="http://schemas.openxmlformats.org/officeDocument/2006/relationships/image" Target="../media/image28.emf"/><Relationship Id="rId4" Type="http://schemas.openxmlformats.org/officeDocument/2006/relationships/image" Target="../media/image2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4.emf"/><Relationship Id="rId1" Type="http://schemas.openxmlformats.org/officeDocument/2006/relationships/image" Target="../media/image35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7" Type="http://schemas.openxmlformats.org/officeDocument/2006/relationships/image" Target="../media/image42.emf"/><Relationship Id="rId2" Type="http://schemas.openxmlformats.org/officeDocument/2006/relationships/image" Target="../media/image37.emf"/><Relationship Id="rId1" Type="http://schemas.openxmlformats.org/officeDocument/2006/relationships/image" Target="../media/image36.emf"/><Relationship Id="rId6" Type="http://schemas.openxmlformats.org/officeDocument/2006/relationships/image" Target="../media/image41.emf"/><Relationship Id="rId5" Type="http://schemas.openxmlformats.org/officeDocument/2006/relationships/image" Target="../media/image40.emf"/><Relationship Id="rId4" Type="http://schemas.openxmlformats.org/officeDocument/2006/relationships/image" Target="../media/image39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7" Type="http://schemas.openxmlformats.org/officeDocument/2006/relationships/image" Target="../media/image55.emf"/><Relationship Id="rId2" Type="http://schemas.openxmlformats.org/officeDocument/2006/relationships/image" Target="../media/image51.emf"/><Relationship Id="rId1" Type="http://schemas.openxmlformats.org/officeDocument/2006/relationships/image" Target="../media/image50.emf"/><Relationship Id="rId6" Type="http://schemas.openxmlformats.org/officeDocument/2006/relationships/image" Target="../media/image56.emf"/><Relationship Id="rId5" Type="http://schemas.openxmlformats.org/officeDocument/2006/relationships/image" Target="../media/image54.emf"/><Relationship Id="rId4" Type="http://schemas.openxmlformats.org/officeDocument/2006/relationships/image" Target="../media/image53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64.emf"/><Relationship Id="rId3" Type="http://schemas.openxmlformats.org/officeDocument/2006/relationships/image" Target="../media/image59.emf"/><Relationship Id="rId7" Type="http://schemas.openxmlformats.org/officeDocument/2006/relationships/image" Target="../media/image63.emf"/><Relationship Id="rId2" Type="http://schemas.openxmlformats.org/officeDocument/2006/relationships/image" Target="../media/image58.emf"/><Relationship Id="rId1" Type="http://schemas.openxmlformats.org/officeDocument/2006/relationships/image" Target="../media/image57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7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4" Type="http://schemas.openxmlformats.org/officeDocument/2006/relationships/image" Target="../media/image68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72.emf"/><Relationship Id="rId7" Type="http://schemas.openxmlformats.org/officeDocument/2006/relationships/image" Target="../media/image76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Relationship Id="rId6" Type="http://schemas.openxmlformats.org/officeDocument/2006/relationships/image" Target="../media/image75.emf"/><Relationship Id="rId5" Type="http://schemas.openxmlformats.org/officeDocument/2006/relationships/image" Target="../media/image74.emf"/><Relationship Id="rId10" Type="http://schemas.openxmlformats.org/officeDocument/2006/relationships/image" Target="../media/image69.emf"/><Relationship Id="rId4" Type="http://schemas.openxmlformats.org/officeDocument/2006/relationships/image" Target="../media/image73.emf"/><Relationship Id="rId9" Type="http://schemas.openxmlformats.org/officeDocument/2006/relationships/image" Target="../media/image78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81.emf"/><Relationship Id="rId7" Type="http://schemas.openxmlformats.org/officeDocument/2006/relationships/image" Target="../media/image85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Relationship Id="rId6" Type="http://schemas.openxmlformats.org/officeDocument/2006/relationships/image" Target="../media/image84.emf"/><Relationship Id="rId5" Type="http://schemas.openxmlformats.org/officeDocument/2006/relationships/image" Target="../media/image83.emf"/><Relationship Id="rId4" Type="http://schemas.openxmlformats.org/officeDocument/2006/relationships/image" Target="../media/image82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3" Type="http://schemas.openxmlformats.org/officeDocument/2006/relationships/image" Target="../media/image90.emf"/><Relationship Id="rId7" Type="http://schemas.openxmlformats.org/officeDocument/2006/relationships/image" Target="../media/image94.emf"/><Relationship Id="rId2" Type="http://schemas.openxmlformats.org/officeDocument/2006/relationships/image" Target="../media/image89.emf"/><Relationship Id="rId1" Type="http://schemas.openxmlformats.org/officeDocument/2006/relationships/image" Target="../media/image88.emf"/><Relationship Id="rId6" Type="http://schemas.openxmlformats.org/officeDocument/2006/relationships/image" Target="../media/image93.emf"/><Relationship Id="rId5" Type="http://schemas.openxmlformats.org/officeDocument/2006/relationships/image" Target="../media/image92.emf"/><Relationship Id="rId10" Type="http://schemas.openxmlformats.org/officeDocument/2006/relationships/image" Target="../media/image87.emf"/><Relationship Id="rId4" Type="http://schemas.openxmlformats.org/officeDocument/2006/relationships/image" Target="../media/image91.emf"/><Relationship Id="rId9" Type="http://schemas.openxmlformats.org/officeDocument/2006/relationships/image" Target="../media/image96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3" Type="http://schemas.openxmlformats.org/officeDocument/2006/relationships/image" Target="../media/image100.emf"/><Relationship Id="rId7" Type="http://schemas.openxmlformats.org/officeDocument/2006/relationships/image" Target="../media/image104.emf"/><Relationship Id="rId2" Type="http://schemas.openxmlformats.org/officeDocument/2006/relationships/image" Target="../media/image99.emf"/><Relationship Id="rId1" Type="http://schemas.openxmlformats.org/officeDocument/2006/relationships/image" Target="../media/image98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10" Type="http://schemas.openxmlformats.org/officeDocument/2006/relationships/image" Target="../media/image97.emf"/><Relationship Id="rId4" Type="http://schemas.openxmlformats.org/officeDocument/2006/relationships/image" Target="../media/image101.emf"/><Relationship Id="rId9" Type="http://schemas.openxmlformats.org/officeDocument/2006/relationships/image" Target="../media/image106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emf"/><Relationship Id="rId3" Type="http://schemas.openxmlformats.org/officeDocument/2006/relationships/image" Target="../media/image109.emf"/><Relationship Id="rId7" Type="http://schemas.openxmlformats.org/officeDocument/2006/relationships/image" Target="../media/image113.emf"/><Relationship Id="rId2" Type="http://schemas.openxmlformats.org/officeDocument/2006/relationships/image" Target="../media/image108.emf"/><Relationship Id="rId1" Type="http://schemas.openxmlformats.org/officeDocument/2006/relationships/image" Target="../media/image107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emf"/><Relationship Id="rId3" Type="http://schemas.openxmlformats.org/officeDocument/2006/relationships/image" Target="../media/image118.emf"/><Relationship Id="rId7" Type="http://schemas.openxmlformats.org/officeDocument/2006/relationships/image" Target="../media/image122.emf"/><Relationship Id="rId2" Type="http://schemas.openxmlformats.org/officeDocument/2006/relationships/image" Target="../media/image117.emf"/><Relationship Id="rId1" Type="http://schemas.openxmlformats.org/officeDocument/2006/relationships/image" Target="../media/image116.emf"/><Relationship Id="rId6" Type="http://schemas.openxmlformats.org/officeDocument/2006/relationships/image" Target="../media/image121.emf"/><Relationship Id="rId5" Type="http://schemas.openxmlformats.org/officeDocument/2006/relationships/image" Target="../media/image120.emf"/><Relationship Id="rId10" Type="http://schemas.openxmlformats.org/officeDocument/2006/relationships/image" Target="../media/image115.emf"/><Relationship Id="rId4" Type="http://schemas.openxmlformats.org/officeDocument/2006/relationships/image" Target="../media/image119.emf"/><Relationship Id="rId9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28575</xdr:rowOff>
    </xdr:from>
    <xdr:to>
      <xdr:col>17</xdr:col>
      <xdr:colOff>72390</xdr:colOff>
      <xdr:row>24</xdr:row>
      <xdr:rowOff>72390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678" t="28543" r="61310" b="13091"/>
        <a:stretch/>
      </xdr:blipFill>
      <xdr:spPr bwMode="auto">
        <a:xfrm>
          <a:off x="7639050" y="600075"/>
          <a:ext cx="70866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66675</xdr:rowOff>
    </xdr:from>
    <xdr:to>
      <xdr:col>13</xdr:col>
      <xdr:colOff>182880</xdr:colOff>
      <xdr:row>31</xdr:row>
      <xdr:rowOff>100965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38175"/>
          <a:ext cx="806767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29</xdr:col>
      <xdr:colOff>411480</xdr:colOff>
      <xdr:row>37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571500"/>
          <a:ext cx="83343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5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5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A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A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B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B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B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215041" name="cmdSpecifySets" hidden="1">
              <a:extLst>
                <a:ext uri="{63B3BB69-23CF-44E3-9099-C40C66FF867C}">
                  <a14:compatExt spid="_x0000_s215041"/>
                </a:ext>
                <a:ext uri="{FF2B5EF4-FFF2-40B4-BE49-F238E27FC236}">
                  <a16:creationId xmlns:a16="http://schemas.microsoft.com/office/drawing/2014/main" id="{00000000-0008-0000-0C00-000001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561975</xdr:colOff>
          <xdr:row>3</xdr:row>
          <xdr:rowOff>9525</xdr:rowOff>
        </xdr:to>
        <xdr:sp macro="" textlink="">
          <xdr:nvSpPr>
            <xdr:cNvPr id="215042" name="cmdCheckCommoditiesSheet" hidden="1">
              <a:extLst>
                <a:ext uri="{63B3BB69-23CF-44E3-9099-C40C66FF867C}">
                  <a14:compatExt spid="_x0000_s215042"/>
                </a:ext>
                <a:ext uri="{FF2B5EF4-FFF2-40B4-BE49-F238E27FC236}">
                  <a16:creationId xmlns:a16="http://schemas.microsoft.com/office/drawing/2014/main" id="{00000000-0008-0000-0C00-000002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142875</xdr:rowOff>
        </xdr:to>
        <xdr:sp macro="" textlink="">
          <xdr:nvSpPr>
            <xdr:cNvPr id="215043" name="cmdCommUnit" hidden="1">
              <a:extLst>
                <a:ext uri="{63B3BB69-23CF-44E3-9099-C40C66FF867C}">
                  <a14:compatExt spid="_x0000_s215043"/>
                </a:ext>
                <a:ext uri="{FF2B5EF4-FFF2-40B4-BE49-F238E27FC236}">
                  <a16:creationId xmlns:a16="http://schemas.microsoft.com/office/drawing/2014/main" id="{00000000-0008-0000-0C00-000003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1926590</xdr:colOff>
      <xdr:row>4</xdr:row>
      <xdr:rowOff>152400</xdr:rowOff>
    </xdr:to>
    <xdr:sp macro="" textlink="">
      <xdr:nvSpPr>
        <xdr:cNvPr id="5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97790</xdr:rowOff>
    </xdr:to>
    <xdr:sp macro="" textlink="">
      <xdr:nvSpPr>
        <xdr:cNvPr id="6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669290</xdr:colOff>
      <xdr:row>4</xdr:row>
      <xdr:rowOff>152400</xdr:rowOff>
    </xdr:to>
    <xdr:sp macro="" textlink="">
      <xdr:nvSpPr>
        <xdr:cNvPr id="7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D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D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D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E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E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E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F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F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F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F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F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10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10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0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0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0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11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11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1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1949450</xdr:colOff>
      <xdr:row>5</xdr:row>
      <xdr:rowOff>15240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 bwMode="auto">
        <a:xfrm>
          <a:off x="5793740" y="650240"/>
          <a:ext cx="1956435" cy="233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130175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 bwMode="auto">
        <a:xfrm>
          <a:off x="16510" y="342900"/>
          <a:ext cx="805180" cy="2559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12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12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12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12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12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12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12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13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13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6</xdr:col>
          <xdr:colOff>66675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13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13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13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13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13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 bwMode="auto">
        <a:xfrm>
          <a:off x="5219700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99681" name="cmdTechNameAndDesc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14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99682" name="cmdCommIN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14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99683" name="cmdCommOUT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14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99684" name="cmdAddParameter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14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99685" name="cmdAddParamQualifier1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14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99686" name="cmdCheckTechDataSheet" hidden="1">
              <a:extLst>
                <a:ext uri="{63B3BB69-23CF-44E3-9099-C40C66FF867C}">
                  <a14:compatExt spid="_x0000_s199686"/>
                </a:ext>
                <a:ext uri="{FF2B5EF4-FFF2-40B4-BE49-F238E27FC236}">
                  <a16:creationId xmlns:a16="http://schemas.microsoft.com/office/drawing/2014/main" id="{00000000-0008-0000-1400-000006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99687" name="cmdAddParamQualifier2" hidden="1">
              <a:extLst>
                <a:ext uri="{63B3BB69-23CF-44E3-9099-C40C66FF867C}">
                  <a14:compatExt spid="_x0000_s199687"/>
                </a:ext>
                <a:ext uri="{FF2B5EF4-FFF2-40B4-BE49-F238E27FC236}">
                  <a16:creationId xmlns:a16="http://schemas.microsoft.com/office/drawing/2014/main" id="{00000000-0008-0000-1400-000007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5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5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5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5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5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5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5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5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6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6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6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6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7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7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7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7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7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7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7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7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7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7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8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8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8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8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8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8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9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9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9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9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9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9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9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9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9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9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A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A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A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A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A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A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A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A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A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A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B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B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B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B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B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B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C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C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C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C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C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C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C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Alumini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C2" t="b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 and Capacities"/>
      <sheetName val="Emissions"/>
      <sheetName val="Energy intensity"/>
      <sheetName val="DOE project"/>
      <sheetName val="AL roadmap "/>
    </sheetNames>
    <sheetDataSet>
      <sheetData sheetId="0">
        <row r="20">
          <cell r="D20">
            <v>720</v>
          </cell>
        </row>
      </sheetData>
      <sheetData sheetId="1">
        <row r="35">
          <cell r="F35">
            <v>1640.7688481217385</v>
          </cell>
        </row>
        <row r="41">
          <cell r="F41">
            <v>0.41016760505000449</v>
          </cell>
        </row>
        <row r="42">
          <cell r="F42">
            <v>4.1062898593307487E-2</v>
          </cell>
        </row>
      </sheetData>
      <sheetData sheetId="2">
        <row r="10">
          <cell r="K10">
            <v>46.36797395678547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news.co.za/print-version/ownership-of-richards-bay-casthouse-changes-hands-2015-09-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d0KpDmoA9O87WGOo18fFJIXSv5nsPmBRlRpkID3fPM4/edit?usp=shar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7.xml"/><Relationship Id="rId5" Type="http://schemas.openxmlformats.org/officeDocument/2006/relationships/image" Target="../media/image9.emf"/><Relationship Id="rId4" Type="http://schemas.openxmlformats.org/officeDocument/2006/relationships/control" Target="../activeX/activeX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9.xml"/><Relationship Id="rId5" Type="http://schemas.openxmlformats.org/officeDocument/2006/relationships/image" Target="../media/image11.emf"/><Relationship Id="rId4" Type="http://schemas.openxmlformats.org/officeDocument/2006/relationships/control" Target="../activeX/activeX8.xml"/><Relationship Id="rId9" Type="http://schemas.openxmlformats.org/officeDocument/2006/relationships/image" Target="../media/image1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2.xml"/><Relationship Id="rId5" Type="http://schemas.openxmlformats.org/officeDocument/2006/relationships/image" Target="../media/image14.emf"/><Relationship Id="rId4" Type="http://schemas.openxmlformats.org/officeDocument/2006/relationships/control" Target="../activeX/activeX11.xml"/><Relationship Id="rId9" Type="http://schemas.openxmlformats.org/officeDocument/2006/relationships/image" Target="../media/image16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5.xml"/><Relationship Id="rId5" Type="http://schemas.openxmlformats.org/officeDocument/2006/relationships/image" Target="../media/image17.emf"/><Relationship Id="rId4" Type="http://schemas.openxmlformats.org/officeDocument/2006/relationships/control" Target="../activeX/activeX14.xml"/><Relationship Id="rId9" Type="http://schemas.openxmlformats.org/officeDocument/2006/relationships/image" Target="../media/image1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18.xml"/><Relationship Id="rId5" Type="http://schemas.openxmlformats.org/officeDocument/2006/relationships/image" Target="../media/image20.emf"/><Relationship Id="rId4" Type="http://schemas.openxmlformats.org/officeDocument/2006/relationships/control" Target="../activeX/activeX17.xml"/><Relationship Id="rId9" Type="http://schemas.openxmlformats.org/officeDocument/2006/relationships/image" Target="../media/image2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1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2.emf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6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30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31.xml"/><Relationship Id="rId5" Type="http://schemas.openxmlformats.org/officeDocument/2006/relationships/image" Target="../media/image33.emf"/><Relationship Id="rId4" Type="http://schemas.openxmlformats.org/officeDocument/2006/relationships/control" Target="../activeX/activeX30.xml"/><Relationship Id="rId9" Type="http://schemas.openxmlformats.org/officeDocument/2006/relationships/image" Target="../media/image3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40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7.emf"/><Relationship Id="rId12" Type="http://schemas.openxmlformats.org/officeDocument/2006/relationships/control" Target="../activeX/activeX37.xml"/><Relationship Id="rId17" Type="http://schemas.openxmlformats.org/officeDocument/2006/relationships/image" Target="../media/image42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34.xml"/><Relationship Id="rId11" Type="http://schemas.openxmlformats.org/officeDocument/2006/relationships/image" Target="../media/image39.emf"/><Relationship Id="rId5" Type="http://schemas.openxmlformats.org/officeDocument/2006/relationships/image" Target="../media/image36.emf"/><Relationship Id="rId15" Type="http://schemas.openxmlformats.org/officeDocument/2006/relationships/image" Target="../media/image41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8.emf"/><Relationship Id="rId14" Type="http://schemas.openxmlformats.org/officeDocument/2006/relationships/control" Target="../activeX/activeX3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7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4.emf"/><Relationship Id="rId12" Type="http://schemas.openxmlformats.org/officeDocument/2006/relationships/control" Target="../activeX/activeX44.xml"/><Relationship Id="rId17" Type="http://schemas.openxmlformats.org/officeDocument/2006/relationships/image" Target="../media/image49.emf"/><Relationship Id="rId2" Type="http://schemas.openxmlformats.org/officeDocument/2006/relationships/drawing" Target="../drawings/drawing13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41.xml"/><Relationship Id="rId11" Type="http://schemas.openxmlformats.org/officeDocument/2006/relationships/image" Target="../media/image46.emf"/><Relationship Id="rId5" Type="http://schemas.openxmlformats.org/officeDocument/2006/relationships/image" Target="../media/image43.emf"/><Relationship Id="rId15" Type="http://schemas.openxmlformats.org/officeDocument/2006/relationships/image" Target="../media/image48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5.emf"/><Relationship Id="rId14" Type="http://schemas.openxmlformats.org/officeDocument/2006/relationships/control" Target="../activeX/activeX4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4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3.vml"/><Relationship Id="rId7" Type="http://schemas.openxmlformats.org/officeDocument/2006/relationships/image" Target="../media/image51.emf"/><Relationship Id="rId12" Type="http://schemas.openxmlformats.org/officeDocument/2006/relationships/control" Target="../activeX/activeX51.xml"/><Relationship Id="rId17" Type="http://schemas.openxmlformats.org/officeDocument/2006/relationships/image" Target="../media/image56.emf"/><Relationship Id="rId2" Type="http://schemas.openxmlformats.org/officeDocument/2006/relationships/drawing" Target="../drawings/drawing14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6.bin"/><Relationship Id="rId6" Type="http://schemas.openxmlformats.org/officeDocument/2006/relationships/control" Target="../activeX/activeX48.xml"/><Relationship Id="rId11" Type="http://schemas.openxmlformats.org/officeDocument/2006/relationships/image" Target="../media/image53.emf"/><Relationship Id="rId5" Type="http://schemas.openxmlformats.org/officeDocument/2006/relationships/image" Target="../media/image50.emf"/><Relationship Id="rId15" Type="http://schemas.openxmlformats.org/officeDocument/2006/relationships/image" Target="../media/image55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52.emf"/><Relationship Id="rId14" Type="http://schemas.openxmlformats.org/officeDocument/2006/relationships/control" Target="../activeX/activeX5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61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4.vml"/><Relationship Id="rId7" Type="http://schemas.openxmlformats.org/officeDocument/2006/relationships/image" Target="../media/image58.emf"/><Relationship Id="rId12" Type="http://schemas.openxmlformats.org/officeDocument/2006/relationships/control" Target="../activeX/activeX58.xml"/><Relationship Id="rId17" Type="http://schemas.openxmlformats.org/officeDocument/2006/relationships/image" Target="../media/image63.emf"/><Relationship Id="rId2" Type="http://schemas.openxmlformats.org/officeDocument/2006/relationships/drawing" Target="../drawings/drawing15.xml"/><Relationship Id="rId16" Type="http://schemas.openxmlformats.org/officeDocument/2006/relationships/control" Target="../activeX/activeX60.xml"/><Relationship Id="rId20" Type="http://schemas.openxmlformats.org/officeDocument/2006/relationships/comments" Target="../comments5.xml"/><Relationship Id="rId1" Type="http://schemas.openxmlformats.org/officeDocument/2006/relationships/printerSettings" Target="../printerSettings/printerSettings17.bin"/><Relationship Id="rId6" Type="http://schemas.openxmlformats.org/officeDocument/2006/relationships/control" Target="../activeX/activeX55.xml"/><Relationship Id="rId11" Type="http://schemas.openxmlformats.org/officeDocument/2006/relationships/image" Target="../media/image60.emf"/><Relationship Id="rId5" Type="http://schemas.openxmlformats.org/officeDocument/2006/relationships/image" Target="../media/image57.emf"/><Relationship Id="rId15" Type="http://schemas.openxmlformats.org/officeDocument/2006/relationships/image" Target="../media/image62.emf"/><Relationship Id="rId10" Type="http://schemas.openxmlformats.org/officeDocument/2006/relationships/control" Target="../activeX/activeX57.xml"/><Relationship Id="rId19" Type="http://schemas.openxmlformats.org/officeDocument/2006/relationships/image" Target="../media/image64.emf"/><Relationship Id="rId4" Type="http://schemas.openxmlformats.org/officeDocument/2006/relationships/control" Target="../activeX/activeX54.xml"/><Relationship Id="rId9" Type="http://schemas.openxmlformats.org/officeDocument/2006/relationships/image" Target="../media/image59.emf"/><Relationship Id="rId14" Type="http://schemas.openxmlformats.org/officeDocument/2006/relationships/control" Target="../activeX/activeX5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ontrol" Target="../activeX/activeX63.xml"/><Relationship Id="rId11" Type="http://schemas.openxmlformats.org/officeDocument/2006/relationships/image" Target="../media/image68.emf"/><Relationship Id="rId5" Type="http://schemas.openxmlformats.org/officeDocument/2006/relationships/image" Target="../media/image65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67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73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6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control" Target="../activeX/activeX70.xml"/><Relationship Id="rId17" Type="http://schemas.openxmlformats.org/officeDocument/2006/relationships/image" Target="../media/image75.emf"/><Relationship Id="rId2" Type="http://schemas.openxmlformats.org/officeDocument/2006/relationships/drawing" Target="../drawings/drawing17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19.bin"/><Relationship Id="rId6" Type="http://schemas.openxmlformats.org/officeDocument/2006/relationships/control" Target="../activeX/activeX67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10" Type="http://schemas.openxmlformats.org/officeDocument/2006/relationships/control" Target="../activeX/activeX69.xml"/><Relationship Id="rId19" Type="http://schemas.openxmlformats.org/officeDocument/2006/relationships/image" Target="../media/image76.emf"/><Relationship Id="rId4" Type="http://schemas.openxmlformats.org/officeDocument/2006/relationships/control" Target="../activeX/activeX66.xml"/><Relationship Id="rId9" Type="http://schemas.openxmlformats.org/officeDocument/2006/relationships/image" Target="../media/image71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83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80.emf"/><Relationship Id="rId12" Type="http://schemas.openxmlformats.org/officeDocument/2006/relationships/control" Target="../activeX/activeX80.xml"/><Relationship Id="rId17" Type="http://schemas.openxmlformats.org/officeDocument/2006/relationships/image" Target="../media/image85.emf"/><Relationship Id="rId2" Type="http://schemas.openxmlformats.org/officeDocument/2006/relationships/drawing" Target="../drawings/drawing18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0.bin"/><Relationship Id="rId6" Type="http://schemas.openxmlformats.org/officeDocument/2006/relationships/control" Target="../activeX/activeX77.xml"/><Relationship Id="rId11" Type="http://schemas.openxmlformats.org/officeDocument/2006/relationships/image" Target="../media/image82.emf"/><Relationship Id="rId5" Type="http://schemas.openxmlformats.org/officeDocument/2006/relationships/image" Target="../media/image79.emf"/><Relationship Id="rId15" Type="http://schemas.openxmlformats.org/officeDocument/2006/relationships/image" Target="../media/image84.emf"/><Relationship Id="rId10" Type="http://schemas.openxmlformats.org/officeDocument/2006/relationships/control" Target="../activeX/activeX79.xml"/><Relationship Id="rId19" Type="http://schemas.openxmlformats.org/officeDocument/2006/relationships/image" Target="../media/image86.emf"/><Relationship Id="rId4" Type="http://schemas.openxmlformats.org/officeDocument/2006/relationships/control" Target="../activeX/activeX76.xml"/><Relationship Id="rId9" Type="http://schemas.openxmlformats.org/officeDocument/2006/relationships/image" Target="../media/image81.emf"/><Relationship Id="rId14" Type="http://schemas.openxmlformats.org/officeDocument/2006/relationships/control" Target="../activeX/activeX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emf"/><Relationship Id="rId13" Type="http://schemas.openxmlformats.org/officeDocument/2006/relationships/control" Target="../activeX/activeX89.xml"/><Relationship Id="rId18" Type="http://schemas.openxmlformats.org/officeDocument/2006/relationships/image" Target="../media/image94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91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18.vml"/><Relationship Id="rId16" Type="http://schemas.openxmlformats.org/officeDocument/2006/relationships/image" Target="../media/image93.emf"/><Relationship Id="rId20" Type="http://schemas.openxmlformats.org/officeDocument/2006/relationships/image" Target="../media/image95.emf"/><Relationship Id="rId1" Type="http://schemas.openxmlformats.org/officeDocument/2006/relationships/drawing" Target="../drawings/drawing19.xml"/><Relationship Id="rId6" Type="http://schemas.openxmlformats.org/officeDocument/2006/relationships/image" Target="../media/image88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90.emf"/><Relationship Id="rId19" Type="http://schemas.openxmlformats.org/officeDocument/2006/relationships/control" Target="../activeX/activeX92.xml"/><Relationship Id="rId4" Type="http://schemas.openxmlformats.org/officeDocument/2006/relationships/image" Target="../media/image87.emf"/><Relationship Id="rId9" Type="http://schemas.openxmlformats.org/officeDocument/2006/relationships/control" Target="../activeX/activeX87.xml"/><Relationship Id="rId14" Type="http://schemas.openxmlformats.org/officeDocument/2006/relationships/image" Target="../media/image92.emf"/><Relationship Id="rId22" Type="http://schemas.openxmlformats.org/officeDocument/2006/relationships/image" Target="../media/image9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13" Type="http://schemas.openxmlformats.org/officeDocument/2006/relationships/control" Target="../activeX/activeX99.xml"/><Relationship Id="rId18" Type="http://schemas.openxmlformats.org/officeDocument/2006/relationships/image" Target="../media/image104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01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103.emf"/><Relationship Id="rId20" Type="http://schemas.openxmlformats.org/officeDocument/2006/relationships/image" Target="../media/image105.emf"/><Relationship Id="rId1" Type="http://schemas.openxmlformats.org/officeDocument/2006/relationships/drawing" Target="../drawings/drawing20.xml"/><Relationship Id="rId6" Type="http://schemas.openxmlformats.org/officeDocument/2006/relationships/image" Target="../media/image98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00.emf"/><Relationship Id="rId19" Type="http://schemas.openxmlformats.org/officeDocument/2006/relationships/control" Target="../activeX/activeX102.xml"/><Relationship Id="rId4" Type="http://schemas.openxmlformats.org/officeDocument/2006/relationships/image" Target="../media/image97.emf"/><Relationship Id="rId9" Type="http://schemas.openxmlformats.org/officeDocument/2006/relationships/control" Target="../activeX/activeX97.xml"/><Relationship Id="rId14" Type="http://schemas.openxmlformats.org/officeDocument/2006/relationships/image" Target="../media/image102.emf"/><Relationship Id="rId22" Type="http://schemas.openxmlformats.org/officeDocument/2006/relationships/image" Target="../media/image106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11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0.vml"/><Relationship Id="rId7" Type="http://schemas.openxmlformats.org/officeDocument/2006/relationships/image" Target="../media/image108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13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105.xml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5" Type="http://schemas.openxmlformats.org/officeDocument/2006/relationships/image" Target="../media/image112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14.emf"/><Relationship Id="rId4" Type="http://schemas.openxmlformats.org/officeDocument/2006/relationships/control" Target="../activeX/activeX104.xml"/><Relationship Id="rId9" Type="http://schemas.openxmlformats.org/officeDocument/2006/relationships/image" Target="../media/image109.emf"/><Relationship Id="rId14" Type="http://schemas.openxmlformats.org/officeDocument/2006/relationships/control" Target="../activeX/activeX10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19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1.vml"/><Relationship Id="rId21" Type="http://schemas.openxmlformats.org/officeDocument/2006/relationships/image" Target="../media/image123.emf"/><Relationship Id="rId7" Type="http://schemas.openxmlformats.org/officeDocument/2006/relationships/image" Target="../media/image116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2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3.xml"/><Relationship Id="rId11" Type="http://schemas.openxmlformats.org/officeDocument/2006/relationships/image" Target="../media/image118.emf"/><Relationship Id="rId5" Type="http://schemas.openxmlformats.org/officeDocument/2006/relationships/image" Target="../media/image115.emf"/><Relationship Id="rId15" Type="http://schemas.openxmlformats.org/officeDocument/2006/relationships/image" Target="../media/image120.emf"/><Relationship Id="rId23" Type="http://schemas.openxmlformats.org/officeDocument/2006/relationships/image" Target="../media/image124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22.emf"/><Relationship Id="rId4" Type="http://schemas.openxmlformats.org/officeDocument/2006/relationships/control" Target="../activeX/activeX112.xml"/><Relationship Id="rId9" Type="http://schemas.openxmlformats.org/officeDocument/2006/relationships/image" Target="../media/image117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5273-DA95-4561-8875-302058B83763}">
  <dimension ref="A3:N29"/>
  <sheetViews>
    <sheetView workbookViewId="0">
      <selection activeCell="E47" sqref="E47"/>
    </sheetView>
  </sheetViews>
  <sheetFormatPr defaultColWidth="9.140625" defaultRowHeight="15" x14ac:dyDescent="0.25"/>
  <cols>
    <col min="1" max="1" width="9.140625" style="140"/>
    <col min="2" max="2" width="20.5703125" style="140" customWidth="1"/>
    <col min="3" max="3" width="9.140625" style="140"/>
    <col min="4" max="4" width="11" style="140" bestFit="1" customWidth="1"/>
    <col min="5" max="16384" width="9.140625" style="140"/>
  </cols>
  <sheetData>
    <row r="3" spans="1:14" ht="21" x14ac:dyDescent="0.35">
      <c r="A3" s="138" t="s">
        <v>220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</row>
    <row r="7" spans="1:14" x14ac:dyDescent="0.25">
      <c r="B7" s="141" t="s">
        <v>221</v>
      </c>
      <c r="D7" s="141">
        <v>2015</v>
      </c>
      <c r="E7" s="141">
        <v>2016</v>
      </c>
      <c r="F7" s="141">
        <v>2017</v>
      </c>
    </row>
    <row r="8" spans="1:14" x14ac:dyDescent="0.25">
      <c r="B8" s="140" t="s">
        <v>222</v>
      </c>
      <c r="D8" s="140">
        <f>'AL roadmap '!D37</f>
        <v>720</v>
      </c>
      <c r="F8" s="140">
        <f>'DOE project'!E6</f>
        <v>714</v>
      </c>
    </row>
    <row r="9" spans="1:14" x14ac:dyDescent="0.25">
      <c r="B9" s="140" t="s">
        <v>223</v>
      </c>
      <c r="D9" s="140">
        <f>'AL roadmap '!D41</f>
        <v>289</v>
      </c>
    </row>
    <row r="11" spans="1:14" x14ac:dyDescent="0.25">
      <c r="B11" s="141" t="s">
        <v>224</v>
      </c>
    </row>
    <row r="12" spans="1:14" x14ac:dyDescent="0.25">
      <c r="B12" s="140" t="s">
        <v>223</v>
      </c>
      <c r="D12" s="140">
        <f>'AL roadmap '!D42</f>
        <v>155</v>
      </c>
    </row>
    <row r="14" spans="1:14" x14ac:dyDescent="0.25">
      <c r="B14" s="141" t="s">
        <v>225</v>
      </c>
    </row>
    <row r="15" spans="1:14" x14ac:dyDescent="0.25">
      <c r="B15" s="140" t="s">
        <v>222</v>
      </c>
      <c r="E15" s="140">
        <f>'AL roadmap '!T44</f>
        <v>517</v>
      </c>
    </row>
    <row r="16" spans="1:14" x14ac:dyDescent="0.25">
      <c r="B16" s="140" t="s">
        <v>223</v>
      </c>
      <c r="E16" s="140">
        <f>'AL roadmap '!T45</f>
        <v>129</v>
      </c>
    </row>
    <row r="17" spans="1:14" x14ac:dyDescent="0.25">
      <c r="B17" s="140" t="s">
        <v>208</v>
      </c>
      <c r="D17" s="140">
        <f>D8</f>
        <v>720</v>
      </c>
      <c r="F17" s="140">
        <f>F8</f>
        <v>714</v>
      </c>
    </row>
    <row r="20" spans="1:14" x14ac:dyDescent="0.25">
      <c r="D20" s="140">
        <f>D17</f>
        <v>720</v>
      </c>
      <c r="F20" s="140">
        <f>'Energy intensity'!F9/1000</f>
        <v>806</v>
      </c>
      <c r="I20" s="140" t="s">
        <v>226</v>
      </c>
      <c r="J20" s="140" t="s">
        <v>227</v>
      </c>
    </row>
    <row r="21" spans="1:14" x14ac:dyDescent="0.25">
      <c r="B21" s="140" t="s">
        <v>228</v>
      </c>
      <c r="C21" s="142">
        <v>0.85</v>
      </c>
      <c r="J21" s="140" t="s">
        <v>229</v>
      </c>
    </row>
    <row r="22" spans="1:14" x14ac:dyDescent="0.25">
      <c r="B22" s="140" t="s">
        <v>230</v>
      </c>
      <c r="D22" s="140">
        <f>D20/($C$21+1%)</f>
        <v>837.20930232558146</v>
      </c>
      <c r="F22" s="140">
        <f>F20/($C$21+1%)</f>
        <v>937.20930232558146</v>
      </c>
    </row>
    <row r="25" spans="1:14" ht="21" x14ac:dyDescent="0.35">
      <c r="A25" s="138" t="s">
        <v>190</v>
      </c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</row>
    <row r="29" spans="1:14" x14ac:dyDescent="0.25">
      <c r="B29" s="140" t="s">
        <v>231</v>
      </c>
      <c r="C29" s="140">
        <v>720</v>
      </c>
      <c r="D29" s="140" t="s">
        <v>232</v>
      </c>
      <c r="F29" s="143" t="s">
        <v>233</v>
      </c>
    </row>
  </sheetData>
  <hyperlinks>
    <hyperlink ref="F29" r:id="rId1" xr:uid="{97006678-A087-4909-AF2C-F28E2E90E5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D96-001A-4573-AA7D-DCB9D670F099}">
  <dimension ref="A1:O45"/>
  <sheetViews>
    <sheetView workbookViewId="0">
      <selection activeCell="K49" sqref="K49"/>
    </sheetView>
  </sheetViews>
  <sheetFormatPr defaultColWidth="9.140625" defaultRowHeight="15" x14ac:dyDescent="0.25"/>
  <cols>
    <col min="1" max="1" width="9.140625" style="140"/>
    <col min="2" max="2" width="47.28515625" style="140" customWidth="1"/>
    <col min="3" max="3" width="13.7109375" style="140" customWidth="1"/>
    <col min="4" max="4" width="13" style="140" customWidth="1"/>
    <col min="5" max="5" width="9.140625" style="140"/>
    <col min="6" max="6" width="13.28515625" style="140" bestFit="1" customWidth="1"/>
    <col min="7" max="8" width="9.140625" style="140"/>
    <col min="9" max="9" width="12.7109375" style="140" bestFit="1" customWidth="1"/>
    <col min="10" max="16384" width="9.140625" style="140"/>
  </cols>
  <sheetData>
    <row r="1" spans="1:15" x14ac:dyDescent="0.25">
      <c r="A1" s="140" t="s">
        <v>234</v>
      </c>
    </row>
    <row r="2" spans="1:15" x14ac:dyDescent="0.25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6"/>
    </row>
    <row r="3" spans="1:15" x14ac:dyDescent="0.25">
      <c r="A3" s="147"/>
      <c r="O3" s="148"/>
    </row>
    <row r="4" spans="1:15" x14ac:dyDescent="0.25">
      <c r="A4" s="147"/>
      <c r="B4" s="141" t="s">
        <v>235</v>
      </c>
      <c r="E4" s="141">
        <v>2012</v>
      </c>
      <c r="F4" s="141">
        <v>2017</v>
      </c>
      <c r="O4" s="148"/>
    </row>
    <row r="5" spans="1:15" x14ac:dyDescent="0.25">
      <c r="A5" s="147"/>
      <c r="B5" s="140" t="s">
        <v>236</v>
      </c>
      <c r="E5" s="149">
        <v>666790</v>
      </c>
      <c r="F5" s="150">
        <v>826537.30724132585</v>
      </c>
      <c r="O5" s="148"/>
    </row>
    <row r="6" spans="1:15" x14ac:dyDescent="0.25">
      <c r="A6" s="147"/>
      <c r="B6" s="140" t="s">
        <v>237</v>
      </c>
      <c r="E6" s="149">
        <v>0</v>
      </c>
      <c r="F6" s="149">
        <v>0</v>
      </c>
      <c r="O6" s="148"/>
    </row>
    <row r="7" spans="1:15" x14ac:dyDescent="0.25">
      <c r="A7" s="147"/>
      <c r="B7" s="140" t="s">
        <v>238</v>
      </c>
      <c r="E7" s="149">
        <v>666790</v>
      </c>
      <c r="F7" s="151">
        <v>826537.30724132585</v>
      </c>
      <c r="O7" s="148"/>
    </row>
    <row r="8" spans="1:15" x14ac:dyDescent="0.25">
      <c r="A8" s="147"/>
      <c r="B8" s="140" t="s">
        <v>239</v>
      </c>
      <c r="E8" s="149">
        <v>0</v>
      </c>
      <c r="F8" s="149">
        <v>0</v>
      </c>
      <c r="O8" s="148"/>
    </row>
    <row r="9" spans="1:15" x14ac:dyDescent="0.25">
      <c r="A9" s="147"/>
      <c r="B9" s="140" t="s">
        <v>240</v>
      </c>
      <c r="E9" s="149">
        <v>0</v>
      </c>
      <c r="F9" s="149">
        <v>0</v>
      </c>
      <c r="O9" s="148"/>
    </row>
    <row r="10" spans="1:15" x14ac:dyDescent="0.25">
      <c r="A10" s="147"/>
      <c r="B10" s="140" t="s">
        <v>241</v>
      </c>
      <c r="E10" s="149"/>
      <c r="F10" s="149"/>
      <c r="O10" s="148"/>
    </row>
    <row r="11" spans="1:15" x14ac:dyDescent="0.25">
      <c r="A11" s="147"/>
      <c r="O11" s="148"/>
    </row>
    <row r="12" spans="1:15" x14ac:dyDescent="0.25">
      <c r="A12" s="147"/>
      <c r="O12" s="148"/>
    </row>
    <row r="13" spans="1:15" x14ac:dyDescent="0.25">
      <c r="A13" s="147"/>
      <c r="O13" s="148"/>
    </row>
    <row r="14" spans="1:15" x14ac:dyDescent="0.25">
      <c r="A14" s="147" t="s">
        <v>242</v>
      </c>
      <c r="L14" s="140" t="s">
        <v>243</v>
      </c>
      <c r="O14" s="148"/>
    </row>
    <row r="15" spans="1:15" x14ac:dyDescent="0.25">
      <c r="A15" s="147"/>
      <c r="C15" s="140" t="s">
        <v>202</v>
      </c>
      <c r="D15" s="140" t="s">
        <v>244</v>
      </c>
      <c r="E15" s="140">
        <v>2012</v>
      </c>
      <c r="F15" s="140">
        <v>2017</v>
      </c>
      <c r="H15" s="140" t="s">
        <v>245</v>
      </c>
      <c r="M15" s="140" t="s">
        <v>246</v>
      </c>
      <c r="O15" s="148"/>
    </row>
    <row r="16" spans="1:15" x14ac:dyDescent="0.25">
      <c r="A16" s="147"/>
      <c r="B16" s="140" t="s">
        <v>236</v>
      </c>
      <c r="C16" s="140" t="s">
        <v>247</v>
      </c>
      <c r="D16" s="140" t="s">
        <v>248</v>
      </c>
      <c r="E16" s="152">
        <v>1.6</v>
      </c>
      <c r="F16" s="152">
        <v>1.6</v>
      </c>
      <c r="L16" s="140" t="s">
        <v>209</v>
      </c>
      <c r="M16" s="140">
        <v>6500</v>
      </c>
      <c r="O16" s="148"/>
    </row>
    <row r="17" spans="1:15" x14ac:dyDescent="0.25">
      <c r="A17" s="147"/>
      <c r="B17" s="140" t="s">
        <v>237</v>
      </c>
      <c r="C17" s="140" t="s">
        <v>247</v>
      </c>
      <c r="D17" s="140" t="s">
        <v>248</v>
      </c>
      <c r="E17" s="152">
        <v>1.7</v>
      </c>
      <c r="F17" s="152">
        <v>1.7</v>
      </c>
      <c r="L17" s="140" t="s">
        <v>249</v>
      </c>
      <c r="M17" s="140">
        <v>9200</v>
      </c>
      <c r="O17" s="148"/>
    </row>
    <row r="18" spans="1:15" x14ac:dyDescent="0.25">
      <c r="A18" s="147"/>
      <c r="B18" s="140" t="s">
        <v>238</v>
      </c>
      <c r="C18" s="140" t="s">
        <v>209</v>
      </c>
      <c r="D18" s="140" t="s">
        <v>250</v>
      </c>
      <c r="E18" s="153">
        <v>3.999760044391787E-4</v>
      </c>
      <c r="F18" s="154">
        <v>3.9997600443917903E-4</v>
      </c>
      <c r="O18" s="148"/>
    </row>
    <row r="19" spans="1:15" x14ac:dyDescent="0.25">
      <c r="A19" s="147"/>
      <c r="B19" s="140" t="s">
        <v>239</v>
      </c>
      <c r="C19" s="140" t="s">
        <v>209</v>
      </c>
      <c r="D19" s="140" t="s">
        <v>250</v>
      </c>
      <c r="E19" s="153">
        <v>0</v>
      </c>
      <c r="F19" s="154">
        <v>0</v>
      </c>
      <c r="O19" s="148"/>
    </row>
    <row r="20" spans="1:15" x14ac:dyDescent="0.25">
      <c r="A20" s="147"/>
      <c r="B20" s="140" t="s">
        <v>240</v>
      </c>
      <c r="C20" s="140" t="s">
        <v>209</v>
      </c>
      <c r="D20" s="140" t="s">
        <v>250</v>
      </c>
      <c r="E20" s="153">
        <v>0</v>
      </c>
      <c r="F20" s="154">
        <v>0</v>
      </c>
      <c r="O20" s="148"/>
    </row>
    <row r="21" spans="1:15" x14ac:dyDescent="0.25">
      <c r="A21" s="147"/>
      <c r="B21" s="140" t="s">
        <v>241</v>
      </c>
      <c r="C21" s="140" t="s">
        <v>209</v>
      </c>
      <c r="D21" s="140" t="s">
        <v>250</v>
      </c>
      <c r="E21" s="153">
        <v>0</v>
      </c>
      <c r="F21" s="154">
        <v>0</v>
      </c>
      <c r="O21" s="148"/>
    </row>
    <row r="22" spans="1:15" x14ac:dyDescent="0.25">
      <c r="A22" s="147"/>
      <c r="B22" s="140" t="s">
        <v>238</v>
      </c>
      <c r="C22" s="140" t="s">
        <v>249</v>
      </c>
      <c r="D22" s="140" t="s">
        <v>251</v>
      </c>
      <c r="E22" s="153">
        <v>4.0042592120457721E-5</v>
      </c>
      <c r="F22" s="154">
        <v>4.0042592120457701E-5</v>
      </c>
      <c r="O22" s="148"/>
    </row>
    <row r="23" spans="1:15" x14ac:dyDescent="0.25">
      <c r="A23" s="147"/>
      <c r="B23" s="140" t="s">
        <v>239</v>
      </c>
      <c r="C23" s="140" t="s">
        <v>249</v>
      </c>
      <c r="D23" s="140" t="s">
        <v>251</v>
      </c>
      <c r="E23" s="153">
        <v>0</v>
      </c>
      <c r="F23" s="154">
        <v>0</v>
      </c>
      <c r="O23" s="148"/>
    </row>
    <row r="24" spans="1:15" x14ac:dyDescent="0.25">
      <c r="A24" s="147"/>
      <c r="B24" s="140" t="s">
        <v>240</v>
      </c>
      <c r="C24" s="140" t="s">
        <v>249</v>
      </c>
      <c r="D24" s="140" t="s">
        <v>251</v>
      </c>
      <c r="E24" s="153">
        <v>0</v>
      </c>
      <c r="F24" s="154">
        <v>0</v>
      </c>
      <c r="O24" s="148"/>
    </row>
    <row r="25" spans="1:15" x14ac:dyDescent="0.25">
      <c r="A25" s="147"/>
      <c r="B25" s="140" t="s">
        <v>241</v>
      </c>
      <c r="C25" s="140" t="s">
        <v>249</v>
      </c>
      <c r="D25" s="140" t="s">
        <v>251</v>
      </c>
      <c r="E25" s="153">
        <v>0</v>
      </c>
      <c r="F25" s="154">
        <v>0</v>
      </c>
      <c r="O25" s="148"/>
    </row>
    <row r="26" spans="1:15" x14ac:dyDescent="0.25">
      <c r="A26" s="147"/>
      <c r="O26" s="148"/>
    </row>
    <row r="27" spans="1:15" x14ac:dyDescent="0.25">
      <c r="A27" s="147"/>
      <c r="C27" s="140" t="s">
        <v>209</v>
      </c>
      <c r="D27" s="140" t="s">
        <v>252</v>
      </c>
      <c r="F27" s="155">
        <f>F18*F7</f>
        <v>330.59508967030365</v>
      </c>
      <c r="I27" s="155">
        <f>F27*M16</f>
        <v>2148868.0828569736</v>
      </c>
      <c r="O27" s="148"/>
    </row>
    <row r="28" spans="1:15" x14ac:dyDescent="0.25">
      <c r="A28" s="147"/>
      <c r="C28" s="140" t="s">
        <v>210</v>
      </c>
      <c r="D28" s="140" t="s">
        <v>252</v>
      </c>
      <c r="F28" s="155">
        <f>F22*F7</f>
        <v>33.096696266205839</v>
      </c>
      <c r="I28" s="155">
        <f>F28*M17</f>
        <v>304489.60564909375</v>
      </c>
      <c r="O28" s="148"/>
    </row>
    <row r="29" spans="1:15" x14ac:dyDescent="0.25">
      <c r="A29" s="147"/>
      <c r="C29" s="140" t="s">
        <v>253</v>
      </c>
      <c r="D29" s="140" t="s">
        <v>254</v>
      </c>
      <c r="F29" s="156">
        <f>F27*M16+F28*M17</f>
        <v>2453357.6885060673</v>
      </c>
      <c r="O29" s="148"/>
    </row>
    <row r="30" spans="1:15" x14ac:dyDescent="0.25">
      <c r="A30" s="147"/>
      <c r="C30" s="140" t="s">
        <v>247</v>
      </c>
      <c r="D30" s="140" t="s">
        <v>254</v>
      </c>
      <c r="F30" s="156">
        <f>F16*F5</f>
        <v>1322459.6915861215</v>
      </c>
      <c r="O30" s="148"/>
    </row>
    <row r="31" spans="1:15" x14ac:dyDescent="0.25">
      <c r="A31" s="147"/>
      <c r="O31" s="148"/>
    </row>
    <row r="32" spans="1:15" x14ac:dyDescent="0.25">
      <c r="A32" s="157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58"/>
    </row>
    <row r="34" spans="2:13" x14ac:dyDescent="0.25">
      <c r="B34" s="140" t="s">
        <v>255</v>
      </c>
      <c r="F34" s="140">
        <f>'Energy intensity'!F9/1000</f>
        <v>806</v>
      </c>
      <c r="H34" s="140" t="s">
        <v>256</v>
      </c>
      <c r="L34" s="140" t="s">
        <v>257</v>
      </c>
      <c r="M34" s="140" t="s">
        <v>258</v>
      </c>
    </row>
    <row r="35" spans="2:13" x14ac:dyDescent="0.25">
      <c r="B35" s="159" t="s">
        <v>259</v>
      </c>
      <c r="C35" s="159" t="s">
        <v>260</v>
      </c>
      <c r="D35" s="159"/>
      <c r="E35" s="159"/>
      <c r="F35" s="160">
        <f>(F30/1000)/($F$34/1000)</f>
        <v>1640.7688481217385</v>
      </c>
      <c r="H35" s="140" t="s">
        <v>261</v>
      </c>
      <c r="L35" s="140" t="s">
        <v>247</v>
      </c>
      <c r="M35" s="140">
        <v>1641</v>
      </c>
    </row>
    <row r="36" spans="2:13" x14ac:dyDescent="0.25">
      <c r="C36" s="140" t="s">
        <v>262</v>
      </c>
      <c r="F36" s="160">
        <f>(F29/1000)/($F$34/1000)</f>
        <v>3043.8680998834584</v>
      </c>
      <c r="H36" s="140" t="s">
        <v>261</v>
      </c>
      <c r="L36" s="140" t="s">
        <v>209</v>
      </c>
      <c r="M36" s="161">
        <f>F41</f>
        <v>0.41016760505000449</v>
      </c>
    </row>
    <row r="37" spans="2:13" x14ac:dyDescent="0.25">
      <c r="L37" s="140" t="s">
        <v>210</v>
      </c>
      <c r="M37" s="161">
        <f>F42</f>
        <v>4.1062898593307487E-2</v>
      </c>
    </row>
    <row r="38" spans="2:13" x14ac:dyDescent="0.25">
      <c r="F38" s="160">
        <f>(I27/1000)/($F$34/1000)</f>
        <v>2666.0894328250292</v>
      </c>
      <c r="H38" s="140" t="s">
        <v>261</v>
      </c>
    </row>
    <row r="39" spans="2:13" x14ac:dyDescent="0.25">
      <c r="F39" s="160">
        <f>(I28/1000)/($F$34/1000)</f>
        <v>377.77866705842894</v>
      </c>
      <c r="H39" s="140" t="s">
        <v>261</v>
      </c>
    </row>
    <row r="41" spans="2:13" x14ac:dyDescent="0.25">
      <c r="C41" s="140" t="s">
        <v>209</v>
      </c>
      <c r="F41" s="161">
        <f>(F27/1000)/(F34/1000)</f>
        <v>0.41016760505000449</v>
      </c>
      <c r="G41" s="140" t="s">
        <v>263</v>
      </c>
      <c r="H41" s="140" t="s">
        <v>261</v>
      </c>
      <c r="I41" s="140" t="s">
        <v>264</v>
      </c>
    </row>
    <row r="42" spans="2:13" x14ac:dyDescent="0.25">
      <c r="C42" s="140" t="s">
        <v>210</v>
      </c>
      <c r="F42" s="161">
        <f>(F28/1000)/(F34/1000)</f>
        <v>4.1062898593307487E-2</v>
      </c>
      <c r="G42" s="140" t="s">
        <v>263</v>
      </c>
      <c r="H42" s="140" t="s">
        <v>261</v>
      </c>
    </row>
    <row r="45" spans="2:13" x14ac:dyDescent="0.25">
      <c r="F45" s="155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6B6-3145-4425-82DB-7C350E1F21E9}">
  <dimension ref="B6:M26"/>
  <sheetViews>
    <sheetView workbookViewId="0">
      <selection activeCell="J20" sqref="J20"/>
    </sheetView>
  </sheetViews>
  <sheetFormatPr defaultColWidth="9.140625" defaultRowHeight="15" x14ac:dyDescent="0.25"/>
  <cols>
    <col min="1" max="2" width="9.140625" style="140"/>
    <col min="3" max="3" width="18.85546875" style="140" customWidth="1"/>
    <col min="4" max="4" width="12" style="140" bestFit="1" customWidth="1"/>
    <col min="5" max="5" width="10.28515625" style="140" bestFit="1" customWidth="1"/>
    <col min="6" max="6" width="15" style="140" customWidth="1"/>
    <col min="7" max="8" width="9.140625" style="140"/>
    <col min="9" max="9" width="12.28515625" style="140" customWidth="1"/>
    <col min="10" max="10" width="11.28515625" style="140" bestFit="1" customWidth="1"/>
    <col min="11" max="11" width="16.42578125" style="140" customWidth="1"/>
    <col min="12" max="12" width="15" style="140" bestFit="1" customWidth="1"/>
    <col min="13" max="13" width="11.42578125" style="140" bestFit="1" customWidth="1"/>
    <col min="14" max="16384" width="9.140625" style="140"/>
  </cols>
  <sheetData>
    <row r="6" spans="2:13" x14ac:dyDescent="0.25">
      <c r="B6" s="140" t="s">
        <v>265</v>
      </c>
    </row>
    <row r="7" spans="2:13" x14ac:dyDescent="0.25">
      <c r="C7" s="140" t="s">
        <v>266</v>
      </c>
    </row>
    <row r="8" spans="2:13" x14ac:dyDescent="0.25">
      <c r="D8" s="140" t="s">
        <v>222</v>
      </c>
      <c r="E8" s="140" t="s">
        <v>267</v>
      </c>
      <c r="F8" s="140" t="s">
        <v>208</v>
      </c>
      <c r="H8" s="140" t="s">
        <v>268</v>
      </c>
    </row>
    <row r="9" spans="2:13" ht="15.75" x14ac:dyDescent="0.25">
      <c r="C9" s="162" t="s">
        <v>269</v>
      </c>
      <c r="D9" s="163">
        <f>'DOE project'!C53</f>
        <v>724271</v>
      </c>
      <c r="E9" s="163">
        <f>'DOE project'!C69</f>
        <v>81729</v>
      </c>
      <c r="F9" s="164">
        <f>SUM(D9:E9)</f>
        <v>806000</v>
      </c>
      <c r="H9" s="140" t="s">
        <v>270</v>
      </c>
      <c r="K9" s="140" t="s">
        <v>206</v>
      </c>
      <c r="L9" s="140" t="s">
        <v>271</v>
      </c>
    </row>
    <row r="10" spans="2:13" ht="15.75" x14ac:dyDescent="0.25">
      <c r="C10" s="165" t="s">
        <v>272</v>
      </c>
      <c r="D10" s="163">
        <f>'DOE project'!J58</f>
        <v>37024362.564384595</v>
      </c>
      <c r="E10" s="163">
        <f>'DOE project'!J74</f>
        <v>348224.44478449132</v>
      </c>
      <c r="F10" s="163">
        <f>SUM(D10:E10)</f>
        <v>37372587.009169087</v>
      </c>
      <c r="H10" s="166">
        <f>F10/$F$9</f>
        <v>46.36797395678547</v>
      </c>
      <c r="K10" s="167">
        <f>H10</f>
        <v>46.36797395678547</v>
      </c>
      <c r="L10" s="168">
        <f>K10/$K$16</f>
        <v>0.89464464809287403</v>
      </c>
      <c r="M10" s="156"/>
    </row>
    <row r="11" spans="2:13" ht="15.75" x14ac:dyDescent="0.25">
      <c r="C11" s="165" t="s">
        <v>273</v>
      </c>
      <c r="D11" s="163">
        <f>'DOE project'!J59</f>
        <v>1652197.7803461917</v>
      </c>
      <c r="E11" s="163">
        <f>'DOE project'!J75</f>
        <v>0</v>
      </c>
      <c r="F11" s="163">
        <f t="shared" ref="F11:F15" si="0">SUM(D11:E11)</f>
        <v>1652197.7803461917</v>
      </c>
      <c r="H11" s="166">
        <f t="shared" ref="H11:H15" si="1">F11/$F$9</f>
        <v>2.0498731766081781</v>
      </c>
      <c r="I11" s="166">
        <f>SUM(H11:H12)</f>
        <v>2.2003907613985811</v>
      </c>
      <c r="K11" s="169">
        <f>I11</f>
        <v>2.2003907613985811</v>
      </c>
      <c r="L11" s="168">
        <f t="shared" ref="L11:L13" si="2">K11/$K$16</f>
        <v>4.2455333938742547E-2</v>
      </c>
      <c r="M11" s="156"/>
    </row>
    <row r="12" spans="2:13" ht="15.75" x14ac:dyDescent="0.25">
      <c r="C12" s="165" t="s">
        <v>274</v>
      </c>
      <c r="D12" s="163">
        <f>'DOE project'!J60</f>
        <v>95546.344448955235</v>
      </c>
      <c r="E12" s="163">
        <f>'DOE project'!J76</f>
        <v>25770.828892109672</v>
      </c>
      <c r="F12" s="163">
        <f t="shared" si="0"/>
        <v>121317.1733410649</v>
      </c>
      <c r="H12" s="166">
        <f t="shared" si="1"/>
        <v>0.15051758479040311</v>
      </c>
      <c r="L12" s="168"/>
    </row>
    <row r="13" spans="2:13" ht="15.75" x14ac:dyDescent="0.25">
      <c r="C13" s="165" t="s">
        <v>203</v>
      </c>
      <c r="D13" s="163">
        <f>'DOE project'!J61</f>
        <v>1464070.4036241656</v>
      </c>
      <c r="E13" s="163">
        <f>'DOE project'!J77</f>
        <v>1163493.9588440037</v>
      </c>
      <c r="F13" s="163">
        <f t="shared" si="0"/>
        <v>2627564.3624681691</v>
      </c>
      <c r="H13" s="166">
        <f t="shared" si="1"/>
        <v>3.260005412491525</v>
      </c>
      <c r="K13" s="166">
        <f>H13</f>
        <v>3.260005412491525</v>
      </c>
      <c r="L13" s="168">
        <f t="shared" si="2"/>
        <v>6.2900017968383515E-2</v>
      </c>
    </row>
    <row r="14" spans="2:13" ht="15.75" x14ac:dyDescent="0.25">
      <c r="C14" s="165" t="s">
        <v>275</v>
      </c>
      <c r="D14" s="163">
        <f>'DOE project'!J62</f>
        <v>61703.499560287702</v>
      </c>
      <c r="E14" s="163">
        <f>'DOE project'!J78</f>
        <v>4387.9118539734109</v>
      </c>
      <c r="F14" s="163">
        <f t="shared" si="0"/>
        <v>66091.411414261107</v>
      </c>
      <c r="H14" s="166">
        <f t="shared" si="1"/>
        <v>8.1999269744740824E-2</v>
      </c>
    </row>
    <row r="15" spans="2:13" ht="15.75" x14ac:dyDescent="0.25">
      <c r="C15" s="165" t="s">
        <v>276</v>
      </c>
      <c r="D15" s="163">
        <f>'DOE project'!J63</f>
        <v>290726.58302189002</v>
      </c>
      <c r="E15" s="163">
        <f>'DOE project'!J79</f>
        <v>272260.60331019753</v>
      </c>
      <c r="F15" s="163">
        <f t="shared" si="0"/>
        <v>562987.1863320875</v>
      </c>
      <c r="H15" s="166">
        <f t="shared" si="1"/>
        <v>0.69849526840209364</v>
      </c>
    </row>
    <row r="16" spans="2:13" ht="15.75" x14ac:dyDescent="0.25">
      <c r="C16" s="170" t="s">
        <v>277</v>
      </c>
      <c r="D16" s="163">
        <f>SUM(D10:D15)</f>
        <v>40588607.175386079</v>
      </c>
      <c r="E16" s="163">
        <f t="shared" ref="E16:F16" si="3">SUM(E10:E15)</f>
        <v>1814137.7476847759</v>
      </c>
      <c r="F16" s="163">
        <f t="shared" si="3"/>
        <v>42402744.923070855</v>
      </c>
      <c r="H16" s="166">
        <f>SUM(H10:H15)</f>
        <v>52.608864668822406</v>
      </c>
      <c r="K16" s="171">
        <f>SUM(K10:K15)</f>
        <v>51.828370130675573</v>
      </c>
    </row>
    <row r="17" spans="3:8" ht="15.75" x14ac:dyDescent="0.25">
      <c r="C17" s="170" t="s">
        <v>270</v>
      </c>
      <c r="D17" s="163">
        <f>D16/D9</f>
        <v>56.04063558445123</v>
      </c>
      <c r="E17" s="163">
        <f t="shared" ref="E17:F17" si="4">E16/E9</f>
        <v>22.196989412384536</v>
      </c>
      <c r="F17" s="163">
        <f t="shared" si="4"/>
        <v>52.608864668822399</v>
      </c>
      <c r="H17" s="166"/>
    </row>
    <row r="25" spans="3:8" x14ac:dyDescent="0.25">
      <c r="E25" s="155"/>
    </row>
    <row r="26" spans="3:8" x14ac:dyDescent="0.25">
      <c r="E26" s="15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A1A6-4819-4F5E-AF5C-33E2E6037ADB}">
  <dimension ref="A1:M80"/>
  <sheetViews>
    <sheetView topLeftCell="A34" workbookViewId="0">
      <selection activeCell="F51" sqref="F51"/>
    </sheetView>
  </sheetViews>
  <sheetFormatPr defaultColWidth="9.140625" defaultRowHeight="15" x14ac:dyDescent="0.25"/>
  <cols>
    <col min="1" max="1" width="9.140625" style="140"/>
    <col min="2" max="2" width="21.140625" style="140" customWidth="1"/>
    <col min="3" max="3" width="17.5703125" style="140" customWidth="1"/>
    <col min="4" max="4" width="19.28515625" style="140" customWidth="1"/>
    <col min="5" max="5" width="14.28515625" style="140" customWidth="1"/>
    <col min="6" max="6" width="14.85546875" style="140" customWidth="1"/>
    <col min="7" max="9" width="9.140625" style="140"/>
    <col min="10" max="10" width="14" style="140" customWidth="1"/>
    <col min="11" max="11" width="17.42578125" style="140" customWidth="1"/>
    <col min="12" max="12" width="13.5703125" style="140" customWidth="1"/>
    <col min="13" max="13" width="14.5703125" style="140" customWidth="1"/>
    <col min="14" max="16384" width="9.140625" style="140"/>
  </cols>
  <sheetData>
    <row r="1" spans="2:12" x14ac:dyDescent="0.25">
      <c r="B1" s="140" t="s">
        <v>278</v>
      </c>
    </row>
    <row r="3" spans="2:12" x14ac:dyDescent="0.25">
      <c r="L3" s="140" t="s">
        <v>279</v>
      </c>
    </row>
    <row r="4" spans="2:12" x14ac:dyDescent="0.25">
      <c r="B4" s="140" t="s">
        <v>221</v>
      </c>
    </row>
    <row r="5" spans="2:12" x14ac:dyDescent="0.25">
      <c r="E5" s="140">
        <v>2017</v>
      </c>
    </row>
    <row r="6" spans="2:12" x14ac:dyDescent="0.25">
      <c r="C6" s="140" t="s">
        <v>280</v>
      </c>
      <c r="D6" s="140" t="s">
        <v>281</v>
      </c>
      <c r="E6" s="140">
        <v>714</v>
      </c>
    </row>
    <row r="11" spans="2:12" x14ac:dyDescent="0.25">
      <c r="C11" s="141" t="s">
        <v>282</v>
      </c>
      <c r="D11" s="141" t="s">
        <v>283</v>
      </c>
      <c r="E11" s="141" t="s">
        <v>284</v>
      </c>
    </row>
    <row r="12" spans="2:12" x14ac:dyDescent="0.25">
      <c r="C12" s="140" t="s">
        <v>285</v>
      </c>
      <c r="D12" s="140" t="s">
        <v>286</v>
      </c>
      <c r="E12" s="140" t="s">
        <v>287</v>
      </c>
    </row>
    <row r="13" spans="2:12" x14ac:dyDescent="0.25">
      <c r="C13" s="140" t="s">
        <v>288</v>
      </c>
      <c r="D13" s="140" t="s">
        <v>280</v>
      </c>
      <c r="E13" s="140" t="s">
        <v>289</v>
      </c>
    </row>
    <row r="26" spans="11:13" ht="15.75" thickBot="1" x14ac:dyDescent="0.3">
      <c r="K26" s="140" t="s">
        <v>279</v>
      </c>
    </row>
    <row r="27" spans="11:13" ht="15.75" thickBot="1" x14ac:dyDescent="0.3">
      <c r="K27" s="172" t="s">
        <v>290</v>
      </c>
      <c r="L27" s="173" t="s">
        <v>291</v>
      </c>
      <c r="M27" s="173" t="s">
        <v>292</v>
      </c>
    </row>
    <row r="28" spans="11:13" ht="15.75" thickBot="1" x14ac:dyDescent="0.3">
      <c r="K28" s="174" t="s">
        <v>272</v>
      </c>
      <c r="L28" s="175" t="s">
        <v>293</v>
      </c>
      <c r="M28" s="175" t="s">
        <v>294</v>
      </c>
    </row>
    <row r="29" spans="11:13" ht="15.75" thickBot="1" x14ac:dyDescent="0.3">
      <c r="K29" s="174" t="s">
        <v>295</v>
      </c>
      <c r="L29" s="175" t="s">
        <v>296</v>
      </c>
      <c r="M29" s="175" t="s">
        <v>297</v>
      </c>
    </row>
    <row r="30" spans="11:13" ht="15.75" thickBot="1" x14ac:dyDescent="0.3">
      <c r="K30" s="174" t="s">
        <v>203</v>
      </c>
      <c r="L30" s="175" t="s">
        <v>298</v>
      </c>
      <c r="M30" s="175" t="s">
        <v>299</v>
      </c>
    </row>
    <row r="31" spans="11:13" ht="26.25" thickBot="1" x14ac:dyDescent="0.3">
      <c r="K31" s="174" t="s">
        <v>300</v>
      </c>
      <c r="L31" s="175" t="s">
        <v>301</v>
      </c>
      <c r="M31" s="175" t="s">
        <v>302</v>
      </c>
    </row>
    <row r="32" spans="11:13" ht="26.25" thickBot="1" x14ac:dyDescent="0.3">
      <c r="K32" s="174" t="s">
        <v>303</v>
      </c>
      <c r="L32" s="175" t="s">
        <v>304</v>
      </c>
      <c r="M32" s="175" t="s">
        <v>305</v>
      </c>
    </row>
    <row r="33" spans="9:13" ht="15.75" thickBot="1" x14ac:dyDescent="0.3">
      <c r="K33" s="174" t="s">
        <v>275</v>
      </c>
      <c r="L33" s="175" t="s">
        <v>306</v>
      </c>
      <c r="M33" s="175" t="s">
        <v>307</v>
      </c>
    </row>
    <row r="37" spans="9:13" ht="47.25" x14ac:dyDescent="0.25">
      <c r="I37" s="176"/>
      <c r="J37" s="177" t="s">
        <v>308</v>
      </c>
      <c r="K37" s="178" t="s">
        <v>309</v>
      </c>
      <c r="L37" s="179" t="s">
        <v>310</v>
      </c>
    </row>
    <row r="38" spans="9:13" ht="15.75" x14ac:dyDescent="0.25">
      <c r="I38" s="180" t="s">
        <v>222</v>
      </c>
      <c r="J38" s="181">
        <v>724271</v>
      </c>
      <c r="K38" s="182">
        <v>40588607.175386079</v>
      </c>
      <c r="L38" s="183">
        <v>56.04063558445123</v>
      </c>
    </row>
    <row r="39" spans="9:13" ht="15.75" x14ac:dyDescent="0.25">
      <c r="I39" s="180" t="s">
        <v>267</v>
      </c>
      <c r="J39" s="181">
        <v>81729</v>
      </c>
      <c r="K39" s="182">
        <v>1814137.7476847756</v>
      </c>
      <c r="L39" s="183">
        <v>22.196989412384536</v>
      </c>
    </row>
    <row r="40" spans="9:13" ht="15.75" x14ac:dyDescent="0.25">
      <c r="I40" s="180" t="s">
        <v>208</v>
      </c>
      <c r="J40" s="181">
        <v>806000</v>
      </c>
      <c r="K40" s="182">
        <v>42402744.923070855</v>
      </c>
      <c r="L40" s="183">
        <v>52.608864668822399</v>
      </c>
    </row>
    <row r="43" spans="9:13" ht="15.75" x14ac:dyDescent="0.25">
      <c r="I43" s="184" t="s">
        <v>311</v>
      </c>
      <c r="J43" s="185" t="s">
        <v>312</v>
      </c>
    </row>
    <row r="44" spans="9:13" ht="15.75" x14ac:dyDescent="0.25">
      <c r="I44" s="186" t="s">
        <v>313</v>
      </c>
      <c r="J44" s="187" t="s">
        <v>314</v>
      </c>
    </row>
    <row r="45" spans="9:13" ht="15.75" x14ac:dyDescent="0.25">
      <c r="I45" s="184" t="s">
        <v>315</v>
      </c>
      <c r="J45" s="185" t="s">
        <v>316</v>
      </c>
    </row>
    <row r="46" spans="9:13" ht="15.75" x14ac:dyDescent="0.25">
      <c r="I46" s="186" t="s">
        <v>317</v>
      </c>
      <c r="J46" s="187" t="s">
        <v>318</v>
      </c>
    </row>
    <row r="47" spans="9:13" ht="15.75" x14ac:dyDescent="0.25">
      <c r="I47" s="184" t="s">
        <v>319</v>
      </c>
      <c r="J47" s="185" t="s">
        <v>320</v>
      </c>
    </row>
    <row r="48" spans="9:13" ht="15.75" x14ac:dyDescent="0.25">
      <c r="I48" s="186" t="s">
        <v>321</v>
      </c>
      <c r="J48" s="187" t="s">
        <v>322</v>
      </c>
    </row>
    <row r="52" spans="1:10" ht="18.75" x14ac:dyDescent="0.3">
      <c r="A52" s="188" t="s">
        <v>323</v>
      </c>
      <c r="B52" s="189"/>
      <c r="C52" s="189"/>
      <c r="D52" s="189"/>
      <c r="E52" s="189"/>
      <c r="F52" s="189"/>
      <c r="G52" s="189"/>
      <c r="H52" s="189"/>
      <c r="I52" s="189"/>
      <c r="J52" s="189"/>
    </row>
    <row r="53" spans="1:10" ht="15.75" x14ac:dyDescent="0.25">
      <c r="A53" s="189"/>
      <c r="B53" s="189" t="s">
        <v>324</v>
      </c>
      <c r="C53" s="190">
        <v>724271</v>
      </c>
      <c r="D53" s="189"/>
      <c r="E53" s="189"/>
      <c r="F53" s="189"/>
      <c r="G53" s="189"/>
      <c r="H53" s="189"/>
      <c r="I53" s="189"/>
      <c r="J53" s="189"/>
    </row>
    <row r="54" spans="1:10" ht="15.75" x14ac:dyDescent="0.25">
      <c r="A54" s="189"/>
      <c r="B54" s="189"/>
      <c r="C54" s="189"/>
      <c r="D54" s="189"/>
      <c r="E54" s="189"/>
      <c r="F54" s="189"/>
      <c r="G54" s="189"/>
      <c r="H54" s="189"/>
      <c r="I54" s="189"/>
      <c r="J54" s="189"/>
    </row>
    <row r="55" spans="1:10" ht="15.75" x14ac:dyDescent="0.25">
      <c r="A55" s="191" t="s">
        <v>208</v>
      </c>
      <c r="B55" s="192"/>
      <c r="C55" s="189"/>
      <c r="D55" s="189"/>
      <c r="E55" s="189"/>
      <c r="F55" s="189"/>
      <c r="G55" s="189"/>
      <c r="H55" s="189"/>
      <c r="I55" s="189"/>
      <c r="J55" s="189"/>
    </row>
    <row r="56" spans="1:10" ht="15.75" x14ac:dyDescent="0.25">
      <c r="A56" s="192"/>
      <c r="B56" s="191" t="s">
        <v>325</v>
      </c>
      <c r="C56" s="189"/>
      <c r="D56" s="189"/>
      <c r="E56" s="189"/>
      <c r="F56" s="189"/>
      <c r="G56" s="189"/>
      <c r="H56" s="189"/>
      <c r="I56" s="189"/>
      <c r="J56" s="189"/>
    </row>
    <row r="57" spans="1:10" ht="15.75" x14ac:dyDescent="0.25">
      <c r="A57" s="189"/>
      <c r="B57" s="193"/>
      <c r="C57" s="193" t="s">
        <v>326</v>
      </c>
      <c r="D57" s="193" t="s">
        <v>327</v>
      </c>
      <c r="E57" s="193" t="s">
        <v>328</v>
      </c>
      <c r="F57" s="193" t="s">
        <v>329</v>
      </c>
      <c r="G57" s="193" t="s">
        <v>330</v>
      </c>
      <c r="H57" s="193" t="s">
        <v>331</v>
      </c>
      <c r="I57" s="193" t="s">
        <v>332</v>
      </c>
      <c r="J57" s="194" t="s">
        <v>208</v>
      </c>
    </row>
    <row r="58" spans="1:10" ht="15.75" x14ac:dyDescent="0.25">
      <c r="A58" s="189"/>
      <c r="B58" s="165" t="s">
        <v>272</v>
      </c>
      <c r="C58" s="195">
        <v>17143839.951220233</v>
      </c>
      <c r="D58" s="195">
        <v>364940.03444977355</v>
      </c>
      <c r="E58" s="195">
        <v>17056354.34756187</v>
      </c>
      <c r="F58" s="195">
        <v>2135330.2822517208</v>
      </c>
      <c r="G58" s="195">
        <v>64156.60834079417</v>
      </c>
      <c r="H58" s="195">
        <v>193067.82527751397</v>
      </c>
      <c r="I58" s="195">
        <v>66673.515282684646</v>
      </c>
      <c r="J58" s="196">
        <v>37024362.564384595</v>
      </c>
    </row>
    <row r="59" spans="1:10" ht="15.75" x14ac:dyDescent="0.25">
      <c r="A59" s="189"/>
      <c r="B59" s="165" t="s">
        <v>273</v>
      </c>
      <c r="C59" s="195">
        <v>1652197.7803461917</v>
      </c>
      <c r="D59" s="195">
        <v>0</v>
      </c>
      <c r="E59" s="195">
        <v>0</v>
      </c>
      <c r="F59" s="195">
        <v>0</v>
      </c>
      <c r="G59" s="195">
        <v>0</v>
      </c>
      <c r="H59" s="195">
        <v>0</v>
      </c>
      <c r="I59" s="195">
        <v>0</v>
      </c>
      <c r="J59" s="196">
        <v>1652197.7803461917</v>
      </c>
    </row>
    <row r="60" spans="1:10" ht="15.75" x14ac:dyDescent="0.25">
      <c r="A60" s="189"/>
      <c r="B60" s="165" t="s">
        <v>274</v>
      </c>
      <c r="C60" s="195">
        <v>95546.344448955235</v>
      </c>
      <c r="D60" s="195">
        <v>0</v>
      </c>
      <c r="E60" s="195">
        <v>0</v>
      </c>
      <c r="F60" s="195">
        <v>0</v>
      </c>
      <c r="G60" s="195">
        <v>0</v>
      </c>
      <c r="H60" s="195">
        <v>0</v>
      </c>
      <c r="I60" s="195">
        <v>0</v>
      </c>
      <c r="J60" s="196">
        <v>95546.344448955235</v>
      </c>
    </row>
    <row r="61" spans="1:10" ht="15.75" x14ac:dyDescent="0.25">
      <c r="A61" s="189"/>
      <c r="B61" s="165" t="s">
        <v>203</v>
      </c>
      <c r="C61" s="195">
        <v>1464070.4036241656</v>
      </c>
      <c r="D61" s="195">
        <v>0</v>
      </c>
      <c r="E61" s="195">
        <v>0</v>
      </c>
      <c r="F61" s="195">
        <v>0</v>
      </c>
      <c r="G61" s="195">
        <v>0</v>
      </c>
      <c r="H61" s="195">
        <v>0</v>
      </c>
      <c r="I61" s="195">
        <v>0</v>
      </c>
      <c r="J61" s="196">
        <v>1464070.4036241656</v>
      </c>
    </row>
    <row r="62" spans="1:10" ht="15.75" x14ac:dyDescent="0.25">
      <c r="A62" s="189"/>
      <c r="B62" s="165" t="s">
        <v>275</v>
      </c>
      <c r="C62" s="195">
        <v>0</v>
      </c>
      <c r="D62" s="195">
        <v>0</v>
      </c>
      <c r="E62" s="195">
        <v>0</v>
      </c>
      <c r="F62" s="195">
        <v>155.11945392491467</v>
      </c>
      <c r="G62" s="195">
        <v>8134.1764202966697</v>
      </c>
      <c r="H62" s="195">
        <v>0</v>
      </c>
      <c r="I62" s="195">
        <v>53414.203686066117</v>
      </c>
      <c r="J62" s="196">
        <v>61703.499560287702</v>
      </c>
    </row>
    <row r="63" spans="1:10" ht="15.75" x14ac:dyDescent="0.25">
      <c r="A63" s="189"/>
      <c r="B63" s="165" t="s">
        <v>276</v>
      </c>
      <c r="C63" s="195">
        <v>290726.58302189002</v>
      </c>
      <c r="D63" s="195">
        <v>0</v>
      </c>
      <c r="E63" s="195">
        <v>0</v>
      </c>
      <c r="F63" s="195">
        <v>0</v>
      </c>
      <c r="G63" s="195">
        <v>0</v>
      </c>
      <c r="H63" s="195">
        <v>0</v>
      </c>
      <c r="I63" s="195">
        <v>0</v>
      </c>
      <c r="J63" s="196">
        <v>290726.58302189002</v>
      </c>
    </row>
    <row r="64" spans="1:10" ht="15.75" x14ac:dyDescent="0.25">
      <c r="A64" s="189"/>
      <c r="B64" s="194" t="s">
        <v>208</v>
      </c>
      <c r="C64" s="196">
        <v>20646381.062661435</v>
      </c>
      <c r="D64" s="196">
        <v>364940.03444977355</v>
      </c>
      <c r="E64" s="196">
        <v>17056354.34756187</v>
      </c>
      <c r="F64" s="196">
        <v>2135485.4017056455</v>
      </c>
      <c r="G64" s="196">
        <v>72290.784761090836</v>
      </c>
      <c r="H64" s="196">
        <v>193067.82527751397</v>
      </c>
      <c r="I64" s="196">
        <v>120087.71896875076</v>
      </c>
      <c r="J64" s="197">
        <v>40588607.175386079</v>
      </c>
    </row>
    <row r="65" spans="1:10" ht="15.75" x14ac:dyDescent="0.25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  <row r="66" spans="1:10" ht="15.75" x14ac:dyDescent="0.25">
      <c r="A66" s="189"/>
      <c r="B66" s="189"/>
      <c r="C66" s="189"/>
      <c r="D66" s="189"/>
      <c r="E66" s="189"/>
      <c r="F66" s="189"/>
      <c r="G66" s="189"/>
      <c r="H66" s="189"/>
      <c r="I66" s="189"/>
      <c r="J66" s="189"/>
    </row>
    <row r="67" spans="1:10" ht="15.75" x14ac:dyDescent="0.25">
      <c r="A67" s="189"/>
      <c r="B67" s="189"/>
      <c r="C67" s="189"/>
      <c r="D67" s="189"/>
      <c r="E67" s="189"/>
      <c r="F67" s="189"/>
      <c r="G67" s="189"/>
      <c r="H67" s="189"/>
      <c r="I67" s="189"/>
      <c r="J67" s="189"/>
    </row>
    <row r="68" spans="1:10" ht="18.75" x14ac:dyDescent="0.3">
      <c r="A68" s="188" t="s">
        <v>333</v>
      </c>
      <c r="B68" s="189"/>
      <c r="C68" s="189"/>
      <c r="D68" s="189"/>
      <c r="E68" s="189"/>
      <c r="F68" s="189"/>
      <c r="G68" s="189"/>
      <c r="H68" s="189"/>
      <c r="I68" s="189"/>
      <c r="J68" s="189"/>
    </row>
    <row r="69" spans="1:10" ht="15.75" x14ac:dyDescent="0.25">
      <c r="A69" s="189"/>
      <c r="B69" s="189" t="s">
        <v>324</v>
      </c>
      <c r="C69" s="190">
        <v>81729</v>
      </c>
      <c r="D69" s="189"/>
      <c r="E69" s="189"/>
      <c r="F69" s="189"/>
      <c r="G69" s="189"/>
      <c r="H69" s="189"/>
      <c r="I69" s="189"/>
      <c r="J69" s="189"/>
    </row>
    <row r="70" spans="1:10" ht="15.75" x14ac:dyDescent="0.25">
      <c r="A70" s="189"/>
      <c r="B70" s="189"/>
      <c r="C70" s="189"/>
      <c r="D70" s="189"/>
      <c r="E70" s="189"/>
      <c r="F70" s="189"/>
      <c r="G70" s="189"/>
      <c r="H70" s="189"/>
      <c r="I70" s="189"/>
      <c r="J70" s="189"/>
    </row>
    <row r="71" spans="1:10" ht="15.75" x14ac:dyDescent="0.25">
      <c r="A71" s="191" t="s">
        <v>208</v>
      </c>
      <c r="B71" s="192"/>
      <c r="C71" s="189"/>
      <c r="D71" s="189"/>
      <c r="E71" s="189"/>
      <c r="F71" s="189"/>
      <c r="G71" s="189"/>
      <c r="H71" s="189"/>
      <c r="I71" s="189"/>
      <c r="J71" s="189"/>
    </row>
    <row r="72" spans="1:10" ht="15.75" x14ac:dyDescent="0.25">
      <c r="A72" s="192"/>
      <c r="B72" s="191" t="s">
        <v>325</v>
      </c>
      <c r="C72" s="189"/>
      <c r="D72" s="189"/>
      <c r="E72" s="189"/>
      <c r="F72" s="189"/>
      <c r="G72" s="189"/>
      <c r="H72" s="189"/>
      <c r="I72" s="189"/>
      <c r="J72" s="189"/>
    </row>
    <row r="73" spans="1:10" ht="15.75" x14ac:dyDescent="0.25">
      <c r="A73" s="189"/>
      <c r="B73" s="193"/>
      <c r="C73" s="193" t="s">
        <v>326</v>
      </c>
      <c r="D73" s="193" t="s">
        <v>327</v>
      </c>
      <c r="E73" s="193" t="s">
        <v>328</v>
      </c>
      <c r="F73" s="193" t="s">
        <v>329</v>
      </c>
      <c r="G73" s="193" t="s">
        <v>330</v>
      </c>
      <c r="H73" s="193" t="s">
        <v>331</v>
      </c>
      <c r="I73" s="193" t="s">
        <v>332</v>
      </c>
      <c r="J73" s="194" t="s">
        <v>208</v>
      </c>
    </row>
    <row r="74" spans="1:10" ht="15.75" x14ac:dyDescent="0.25">
      <c r="A74" s="189"/>
      <c r="B74" s="165" t="s">
        <v>272</v>
      </c>
      <c r="C74" s="195">
        <v>174925.65819147657</v>
      </c>
      <c r="D74" s="195">
        <v>3219.3563290309239</v>
      </c>
      <c r="E74" s="195">
        <v>9023.1371469071946</v>
      </c>
      <c r="F74" s="195">
        <v>102724.67932761092</v>
      </c>
      <c r="G74" s="195">
        <v>18336.54241881632</v>
      </c>
      <c r="H74" s="195">
        <v>20409.03368115189</v>
      </c>
      <c r="I74" s="195">
        <v>19586.037689497549</v>
      </c>
      <c r="J74" s="196">
        <v>348224.44478449132</v>
      </c>
    </row>
    <row r="75" spans="1:10" ht="15.75" x14ac:dyDescent="0.25">
      <c r="A75" s="189"/>
      <c r="B75" s="165" t="s">
        <v>273</v>
      </c>
      <c r="C75" s="195">
        <v>0</v>
      </c>
      <c r="D75" s="195">
        <v>0</v>
      </c>
      <c r="E75" s="195">
        <v>0</v>
      </c>
      <c r="F75" s="195">
        <v>0</v>
      </c>
      <c r="G75" s="195">
        <v>0</v>
      </c>
      <c r="H75" s="195">
        <v>0</v>
      </c>
      <c r="I75" s="195">
        <v>0</v>
      </c>
      <c r="J75" s="196">
        <v>0</v>
      </c>
    </row>
    <row r="76" spans="1:10" ht="15.75" x14ac:dyDescent="0.25">
      <c r="A76" s="189"/>
      <c r="B76" s="165" t="s">
        <v>274</v>
      </c>
      <c r="C76" s="195">
        <v>25770.828892109672</v>
      </c>
      <c r="D76" s="195">
        <v>0</v>
      </c>
      <c r="E76" s="195">
        <v>0</v>
      </c>
      <c r="F76" s="195">
        <v>0</v>
      </c>
      <c r="G76" s="195">
        <v>0</v>
      </c>
      <c r="H76" s="195">
        <v>0</v>
      </c>
      <c r="I76" s="195">
        <v>0</v>
      </c>
      <c r="J76" s="196">
        <v>25770.828892109672</v>
      </c>
    </row>
    <row r="77" spans="1:10" ht="15.75" x14ac:dyDescent="0.25">
      <c r="A77" s="189"/>
      <c r="B77" s="165" t="s">
        <v>203</v>
      </c>
      <c r="C77" s="195">
        <v>1163493.9588440037</v>
      </c>
      <c r="D77" s="195">
        <v>0</v>
      </c>
      <c r="E77" s="195">
        <v>0</v>
      </c>
      <c r="F77" s="195">
        <v>0</v>
      </c>
      <c r="G77" s="195">
        <v>0</v>
      </c>
      <c r="H77" s="195">
        <v>0</v>
      </c>
      <c r="I77" s="195">
        <v>0</v>
      </c>
      <c r="J77" s="196">
        <v>1163493.9588440037</v>
      </c>
    </row>
    <row r="78" spans="1:10" ht="15.75" x14ac:dyDescent="0.25">
      <c r="A78" s="189"/>
      <c r="B78" s="165" t="s">
        <v>275</v>
      </c>
      <c r="C78" s="195">
        <v>0</v>
      </c>
      <c r="D78" s="195">
        <v>0</v>
      </c>
      <c r="E78" s="195">
        <v>0</v>
      </c>
      <c r="F78" s="195">
        <v>0</v>
      </c>
      <c r="G78" s="195">
        <v>2193.9559269867054</v>
      </c>
      <c r="H78" s="195">
        <v>0</v>
      </c>
      <c r="I78" s="195">
        <v>2193.9559269867054</v>
      </c>
      <c r="J78" s="196">
        <v>4387.9118539734109</v>
      </c>
    </row>
    <row r="79" spans="1:10" ht="15.75" x14ac:dyDescent="0.25">
      <c r="A79" s="189"/>
      <c r="B79" s="165" t="s">
        <v>276</v>
      </c>
      <c r="C79" s="195">
        <v>272260.60331019753</v>
      </c>
      <c r="D79" s="195">
        <v>0</v>
      </c>
      <c r="E79" s="195">
        <v>0</v>
      </c>
      <c r="F79" s="195">
        <v>0</v>
      </c>
      <c r="G79" s="195">
        <v>0</v>
      </c>
      <c r="H79" s="195">
        <v>0</v>
      </c>
      <c r="I79" s="195">
        <v>0</v>
      </c>
      <c r="J79" s="196">
        <v>272260.60331019753</v>
      </c>
    </row>
    <row r="80" spans="1:10" ht="15.75" x14ac:dyDescent="0.25">
      <c r="A80" s="189"/>
      <c r="B80" s="194" t="s">
        <v>208</v>
      </c>
      <c r="C80" s="196">
        <v>1636451.0492377875</v>
      </c>
      <c r="D80" s="196">
        <v>3219.3563290309239</v>
      </c>
      <c r="E80" s="196">
        <v>9023.1371469071946</v>
      </c>
      <c r="F80" s="196">
        <v>102724.67932761092</v>
      </c>
      <c r="G80" s="196">
        <v>20530.498345803026</v>
      </c>
      <c r="H80" s="196">
        <v>20409.03368115189</v>
      </c>
      <c r="I80" s="196">
        <v>21779.993616484255</v>
      </c>
      <c r="J80" s="197">
        <v>1814137.7476847759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4569-1FF1-4F05-8A16-5B9A1F3516D2}">
  <dimension ref="B2:T58"/>
  <sheetViews>
    <sheetView workbookViewId="0">
      <selection activeCell="F51" sqref="F51"/>
    </sheetView>
  </sheetViews>
  <sheetFormatPr defaultColWidth="9.140625" defaultRowHeight="15" x14ac:dyDescent="0.25"/>
  <cols>
    <col min="1" max="2" width="9.140625" style="140"/>
    <col min="3" max="3" width="18.140625" style="140" customWidth="1"/>
    <col min="4" max="16384" width="9.140625" style="140"/>
  </cols>
  <sheetData>
    <row r="2" spans="2:2" x14ac:dyDescent="0.25">
      <c r="B2" s="140" t="s">
        <v>334</v>
      </c>
    </row>
    <row r="35" spans="2:20" x14ac:dyDescent="0.25">
      <c r="B35" s="140" t="s">
        <v>335</v>
      </c>
    </row>
    <row r="36" spans="2:20" x14ac:dyDescent="0.25">
      <c r="D36" s="140">
        <v>2015</v>
      </c>
    </row>
    <row r="37" spans="2:20" x14ac:dyDescent="0.25">
      <c r="C37" s="140" t="s">
        <v>231</v>
      </c>
      <c r="D37" s="140">
        <v>720</v>
      </c>
    </row>
    <row r="38" spans="2:20" x14ac:dyDescent="0.25">
      <c r="C38" s="140" t="s">
        <v>285</v>
      </c>
    </row>
    <row r="40" spans="2:20" x14ac:dyDescent="0.25">
      <c r="B40" s="140" t="s">
        <v>336</v>
      </c>
      <c r="T40" s="140">
        <v>2016</v>
      </c>
    </row>
    <row r="41" spans="2:20" x14ac:dyDescent="0.25">
      <c r="C41" s="140" t="s">
        <v>337</v>
      </c>
      <c r="D41" s="140">
        <v>289</v>
      </c>
      <c r="S41" s="140" t="s">
        <v>222</v>
      </c>
      <c r="T41" s="140">
        <v>700</v>
      </c>
    </row>
    <row r="42" spans="2:20" x14ac:dyDescent="0.25">
      <c r="C42" s="140" t="s">
        <v>338</v>
      </c>
      <c r="D42" s="140">
        <v>155</v>
      </c>
      <c r="S42" s="140" t="s">
        <v>339</v>
      </c>
    </row>
    <row r="44" spans="2:20" x14ac:dyDescent="0.25">
      <c r="I44" s="140" t="s">
        <v>340</v>
      </c>
      <c r="S44" s="140" t="s">
        <v>341</v>
      </c>
      <c r="T44" s="140">
        <v>517</v>
      </c>
    </row>
    <row r="45" spans="2:20" x14ac:dyDescent="0.25">
      <c r="S45" s="140" t="s">
        <v>342</v>
      </c>
      <c r="T45" s="140">
        <v>129</v>
      </c>
    </row>
    <row r="46" spans="2:20" x14ac:dyDescent="0.25">
      <c r="I46" s="140" t="s">
        <v>343</v>
      </c>
    </row>
    <row r="53" spans="11:14" x14ac:dyDescent="0.25">
      <c r="L53" s="140" t="s">
        <v>344</v>
      </c>
      <c r="M53" s="140" t="s">
        <v>345</v>
      </c>
    </row>
    <row r="54" spans="11:14" x14ac:dyDescent="0.25">
      <c r="K54" s="140" t="s">
        <v>346</v>
      </c>
      <c r="L54" s="140">
        <v>217</v>
      </c>
      <c r="M54" s="140">
        <v>47</v>
      </c>
      <c r="N54" s="140" t="s">
        <v>347</v>
      </c>
    </row>
    <row r="55" spans="11:14" x14ac:dyDescent="0.25">
      <c r="K55" s="140" t="s">
        <v>348</v>
      </c>
      <c r="L55" s="140">
        <v>62</v>
      </c>
      <c r="M55" s="140">
        <v>70</v>
      </c>
      <c r="N55" s="140" t="s">
        <v>349</v>
      </c>
    </row>
    <row r="56" spans="11:14" x14ac:dyDescent="0.25">
      <c r="L56" s="140">
        <f>SUM(L54:L55)</f>
        <v>279</v>
      </c>
      <c r="M56" s="140">
        <f>SUM(M54:M55)</f>
        <v>117</v>
      </c>
    </row>
    <row r="58" spans="11:14" x14ac:dyDescent="0.25">
      <c r="M58" s="140">
        <f>L56-M56</f>
        <v>162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>
      <selection activeCell="H23" sqref="H23"/>
    </sheetView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N27"/>
  <sheetViews>
    <sheetView workbookViewId="0">
      <selection activeCell="D11" sqref="D11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4" ht="18" thickBot="1" x14ac:dyDescent="0.35">
      <c r="B3" s="77" t="s">
        <v>145</v>
      </c>
      <c r="C3" s="77"/>
      <c r="D3" s="77"/>
      <c r="E3" s="74" t="s">
        <v>148</v>
      </c>
    </row>
    <row r="4" spans="2:14" ht="13.5" thickTop="1" x14ac:dyDescent="0.2"/>
    <row r="5" spans="2:14" x14ac:dyDescent="0.2">
      <c r="B5" s="74" t="s">
        <v>146</v>
      </c>
      <c r="C5" s="74" t="s">
        <v>15</v>
      </c>
      <c r="D5" s="74" t="s">
        <v>149</v>
      </c>
    </row>
    <row r="6" spans="2:14" ht="15" x14ac:dyDescent="0.25">
      <c r="B6" s="74" t="s">
        <v>147</v>
      </c>
      <c r="C6" s="74" t="s">
        <v>150</v>
      </c>
      <c r="E6" s="102">
        <v>1</v>
      </c>
    </row>
    <row r="7" spans="2:14" x14ac:dyDescent="0.2">
      <c r="D7" t="str">
        <f ca="1">Commodities_BASE!A2</f>
        <v>Commodities_BASE</v>
      </c>
      <c r="E7" s="103">
        <f t="shared" ref="E7:E11" si="0">$E$6</f>
        <v>1</v>
      </c>
      <c r="I7" s="88" t="s">
        <v>350</v>
      </c>
      <c r="J7" s="83"/>
      <c r="K7" s="83"/>
      <c r="L7" s="83"/>
    </row>
    <row r="8" spans="2:14" x14ac:dyDescent="0.2">
      <c r="D8" t="str">
        <f ca="1">CommData_BASE!A2</f>
        <v>CommData_BASE</v>
      </c>
      <c r="E8" s="103">
        <f t="shared" si="0"/>
        <v>1</v>
      </c>
    </row>
    <row r="9" spans="2:14" x14ac:dyDescent="0.2">
      <c r="D9" t="str">
        <f ca="1">Processes_BASE!A2</f>
        <v>Processes_BASE</v>
      </c>
      <c r="E9" s="103">
        <f t="shared" si="0"/>
        <v>1</v>
      </c>
      <c r="I9" s="74" t="s">
        <v>351</v>
      </c>
      <c r="J9" t="b" cm="1">
        <f t="array" ref="J9">[1]!pamsindex</f>
        <v>0</v>
      </c>
    </row>
    <row r="10" spans="2:14" x14ac:dyDescent="0.2">
      <c r="D10" t="str">
        <f ca="1">'ProcData_ALM - PAMS'!A2</f>
        <v>ProcData_ALM - PAMS</v>
      </c>
      <c r="E10" s="103">
        <f>IF(J9=TRUE,1,0)</f>
        <v>0</v>
      </c>
      <c r="I10" s="74" t="s">
        <v>352</v>
      </c>
      <c r="J10" t="s">
        <v>354</v>
      </c>
    </row>
    <row r="11" spans="2:14" x14ac:dyDescent="0.2">
      <c r="D11" t="str">
        <f ca="1">ProcData_ALM!A2</f>
        <v>ProcData_ALM</v>
      </c>
      <c r="E11" s="103">
        <f t="shared" si="0"/>
        <v>1</v>
      </c>
      <c r="M11" s="1" t="s">
        <v>356</v>
      </c>
    </row>
    <row r="12" spans="2:14" x14ac:dyDescent="0.2">
      <c r="E12" s="103"/>
      <c r="I12" s="74" t="s">
        <v>353</v>
      </c>
      <c r="J12" s="74" t="s">
        <v>355</v>
      </c>
      <c r="M12" s="199">
        <v>2.5000000000000001E-2</v>
      </c>
      <c r="N12" s="74" t="s">
        <v>357</v>
      </c>
    </row>
    <row r="13" spans="2:14" x14ac:dyDescent="0.2">
      <c r="E13" s="103"/>
      <c r="I13" s="74" t="s">
        <v>354</v>
      </c>
      <c r="J13" s="74" t="s">
        <v>355</v>
      </c>
      <c r="M13" s="198">
        <v>0.05</v>
      </c>
      <c r="N13" s="74" t="s">
        <v>357</v>
      </c>
    </row>
    <row r="14" spans="2:14" x14ac:dyDescent="0.2">
      <c r="E14" s="103"/>
      <c r="M14">
        <f>INDEX(M12:M13,MATCH(J10,I12:I13,0))</f>
        <v>0.05</v>
      </c>
      <c r="N14" s="74" t="s">
        <v>358</v>
      </c>
    </row>
    <row r="15" spans="2:14" x14ac:dyDescent="0.2">
      <c r="E15" s="103"/>
    </row>
    <row r="16" spans="2:14" x14ac:dyDescent="0.2">
      <c r="E16" s="103"/>
    </row>
    <row r="17" spans="5:5" x14ac:dyDescent="0.2">
      <c r="E17" s="103"/>
    </row>
    <row r="18" spans="5:5" x14ac:dyDescent="0.2">
      <c r="E18" s="103"/>
    </row>
    <row r="19" spans="5:5" x14ac:dyDescent="0.2">
      <c r="E19" s="103"/>
    </row>
    <row r="20" spans="5:5" x14ac:dyDescent="0.2">
      <c r="E20" s="103"/>
    </row>
    <row r="21" spans="5:5" x14ac:dyDescent="0.2">
      <c r="E21" s="103"/>
    </row>
    <row r="22" spans="5:5" x14ac:dyDescent="0.2">
      <c r="E22" s="103"/>
    </row>
    <row r="23" spans="5:5" x14ac:dyDescent="0.2">
      <c r="E23" s="103"/>
    </row>
    <row r="24" spans="5:5" x14ac:dyDescent="0.2">
      <c r="E24" s="103"/>
    </row>
    <row r="25" spans="5:5" x14ac:dyDescent="0.2">
      <c r="E25" s="103"/>
    </row>
    <row r="26" spans="5:5" x14ac:dyDescent="0.2">
      <c r="E26" s="103"/>
    </row>
    <row r="27" spans="5:5" x14ac:dyDescent="0.2">
      <c r="E27" s="103"/>
    </row>
  </sheetData>
  <dataValidations count="1">
    <dataValidation type="list" allowBlank="1" showInputMessage="1" showErrorMessage="1" sqref="J10" xr:uid="{158ECA61-51EF-4EA1-B317-22BEED597959}">
      <formula1>$I$12:$I$13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zoomScaleNormal="100" workbookViewId="0">
      <selection activeCell="F3" sqref="F3"/>
    </sheetView>
  </sheetViews>
  <sheetFormatPr defaultColWidth="9.140625" defaultRowHeight="15" x14ac:dyDescent="0.25"/>
  <cols>
    <col min="1" max="1" width="9.140625" style="47"/>
    <col min="2" max="2" width="9.140625" style="47" customWidth="1"/>
    <col min="3" max="3" width="20.7109375" style="47" customWidth="1"/>
    <col min="4" max="10" width="3.5703125" style="47" customWidth="1"/>
    <col min="11" max="11" width="4" style="47" customWidth="1"/>
    <col min="12" max="12" width="4.5703125" style="47" customWidth="1"/>
    <col min="13" max="13" width="29.85546875" style="47" customWidth="1"/>
    <col min="14" max="14" width="4" style="47" customWidth="1"/>
    <col min="15" max="16" width="3.5703125" style="47" customWidth="1"/>
    <col min="17" max="17" width="3.7109375" style="47" customWidth="1"/>
    <col min="18" max="18" width="3.85546875" style="47" customWidth="1"/>
    <col min="19" max="19" width="4" style="47" customWidth="1"/>
    <col min="20" max="20" width="25.5703125" style="47" customWidth="1"/>
    <col min="21" max="27" width="3.5703125" style="47" customWidth="1"/>
    <col min="28" max="16384" width="9.140625" style="47"/>
  </cols>
  <sheetData>
    <row r="1" spans="3:31" x14ac:dyDescent="0.25">
      <c r="N1" s="47" t="s">
        <v>121</v>
      </c>
      <c r="U1" s="117" t="s">
        <v>154</v>
      </c>
    </row>
    <row r="2" spans="3:31" ht="84" customHeight="1" x14ac:dyDescent="0.25">
      <c r="C2" s="50"/>
      <c r="D2" s="121" t="s">
        <v>184</v>
      </c>
      <c r="E2" s="122" t="s">
        <v>185</v>
      </c>
      <c r="F2" s="121" t="s">
        <v>186</v>
      </c>
      <c r="G2" s="122"/>
      <c r="H2" s="118"/>
      <c r="I2" s="118"/>
      <c r="J2" s="71"/>
      <c r="K2" s="72"/>
      <c r="L2" s="73"/>
      <c r="M2" s="50"/>
      <c r="O2" s="130" t="s">
        <v>182</v>
      </c>
      <c r="P2" s="118"/>
      <c r="U2" s="118"/>
      <c r="V2" s="118"/>
      <c r="W2" s="118"/>
      <c r="X2" s="75"/>
      <c r="Y2" s="71"/>
      <c r="Z2" s="107"/>
      <c r="AA2" s="109"/>
    </row>
    <row r="3" spans="3:31" ht="141" customHeight="1" x14ac:dyDescent="0.25">
      <c r="C3" s="50" t="s">
        <v>120</v>
      </c>
      <c r="D3" s="131" t="s">
        <v>189</v>
      </c>
      <c r="E3" s="131" t="s">
        <v>188</v>
      </c>
      <c r="F3" s="131" t="s">
        <v>187</v>
      </c>
      <c r="G3" s="122"/>
      <c r="H3" s="118"/>
      <c r="I3" s="118"/>
      <c r="J3" s="71"/>
      <c r="K3" s="72"/>
      <c r="L3" s="73"/>
      <c r="M3" s="50" t="s">
        <v>119</v>
      </c>
      <c r="O3" s="122" t="s">
        <v>183</v>
      </c>
      <c r="P3" s="118"/>
      <c r="U3" s="118"/>
      <c r="V3" s="118"/>
      <c r="W3" s="118"/>
      <c r="X3" s="118"/>
      <c r="Y3" s="71"/>
      <c r="Z3" s="109"/>
      <c r="AA3" s="115"/>
    </row>
    <row r="4" spans="3:31" x14ac:dyDescent="0.25">
      <c r="D4" s="49"/>
      <c r="E4" s="49"/>
      <c r="F4" s="49"/>
      <c r="G4" s="49"/>
      <c r="H4" s="49"/>
      <c r="I4" s="49"/>
      <c r="J4" s="49"/>
      <c r="K4" s="52"/>
      <c r="L4" s="50"/>
      <c r="O4" s="49"/>
      <c r="P4" s="49"/>
      <c r="U4" s="49"/>
      <c r="V4" s="49"/>
      <c r="W4" s="49"/>
      <c r="X4" s="49"/>
      <c r="Y4" s="49"/>
      <c r="Z4" s="49"/>
      <c r="AA4" s="49"/>
    </row>
    <row r="5" spans="3:31" x14ac:dyDescent="0.25">
      <c r="D5" s="49"/>
      <c r="E5" s="53"/>
      <c r="F5" s="56"/>
      <c r="G5" s="53"/>
      <c r="H5" s="53"/>
      <c r="I5" s="53"/>
      <c r="J5" s="56"/>
      <c r="K5" s="60"/>
      <c r="L5" s="56"/>
      <c r="M5" s="61" t="s">
        <v>179</v>
      </c>
      <c r="N5" s="60"/>
      <c r="O5" s="56"/>
      <c r="P5" s="62"/>
      <c r="U5" s="49"/>
      <c r="V5" s="49"/>
      <c r="W5" s="49"/>
      <c r="X5" s="49"/>
      <c r="Y5" s="49"/>
      <c r="Z5" s="49"/>
      <c r="AA5" s="49"/>
      <c r="AD5" s="117"/>
      <c r="AE5" s="70"/>
    </row>
    <row r="6" spans="3:31" x14ac:dyDescent="0.25">
      <c r="C6" s="50"/>
      <c r="D6" s="49"/>
      <c r="E6" s="49"/>
      <c r="F6" s="57"/>
      <c r="G6" s="57"/>
      <c r="H6" s="64"/>
      <c r="I6" s="57"/>
      <c r="J6" s="64"/>
      <c r="K6" s="110"/>
      <c r="L6" s="64"/>
      <c r="M6" s="69"/>
      <c r="N6" s="59"/>
      <c r="O6" s="58"/>
      <c r="P6" s="51"/>
      <c r="U6" s="49"/>
      <c r="V6" s="49"/>
      <c r="W6" s="49"/>
      <c r="X6" s="49"/>
      <c r="Y6" s="49"/>
      <c r="Z6" s="49"/>
      <c r="AA6" s="49"/>
      <c r="AD6" s="117"/>
      <c r="AE6" s="66"/>
    </row>
    <row r="7" spans="3:31" x14ac:dyDescent="0.25">
      <c r="C7" s="50"/>
      <c r="D7" s="49"/>
      <c r="E7" s="49"/>
      <c r="F7" s="49"/>
      <c r="G7" s="57"/>
      <c r="H7" s="64"/>
      <c r="I7" s="57"/>
      <c r="J7" s="64"/>
      <c r="K7" s="110"/>
      <c r="L7" s="64"/>
      <c r="M7" s="123" t="s">
        <v>175</v>
      </c>
      <c r="P7" s="51"/>
      <c r="U7" s="49"/>
      <c r="V7" s="49"/>
      <c r="W7" s="49"/>
      <c r="X7" s="49"/>
      <c r="Y7" s="49"/>
      <c r="Z7" s="49"/>
      <c r="AA7" s="49"/>
      <c r="AD7" s="117"/>
      <c r="AE7" s="68"/>
    </row>
    <row r="8" spans="3:31" x14ac:dyDescent="0.25">
      <c r="C8" s="50"/>
      <c r="D8" s="49"/>
      <c r="E8" s="49"/>
      <c r="F8" s="49"/>
      <c r="G8" s="49"/>
      <c r="H8" s="49"/>
      <c r="I8" s="49"/>
      <c r="J8" s="63"/>
      <c r="K8" s="59"/>
      <c r="L8" s="58"/>
      <c r="M8" s="55"/>
      <c r="N8" s="50"/>
      <c r="O8" s="50"/>
      <c r="P8" s="51"/>
      <c r="U8" s="49"/>
      <c r="V8" s="49"/>
      <c r="W8" s="49"/>
      <c r="X8" s="51"/>
      <c r="Y8" s="49"/>
      <c r="Z8" s="49"/>
      <c r="AA8" s="49"/>
      <c r="AD8" s="117"/>
      <c r="AE8" s="65"/>
    </row>
    <row r="9" spans="3:31" x14ac:dyDescent="0.25">
      <c r="C9" s="50"/>
      <c r="D9" s="49"/>
      <c r="E9" s="49"/>
      <c r="F9" s="49"/>
      <c r="G9" s="49"/>
      <c r="H9" s="49"/>
      <c r="I9" s="49"/>
      <c r="J9" s="49"/>
      <c r="K9" s="52"/>
      <c r="L9" s="50"/>
      <c r="M9" s="128" t="s">
        <v>178</v>
      </c>
      <c r="N9" s="50"/>
      <c r="O9" s="49"/>
      <c r="P9" s="51"/>
      <c r="U9" s="49"/>
      <c r="V9" s="49"/>
      <c r="W9" s="49"/>
      <c r="X9" s="49"/>
      <c r="Y9" s="49"/>
      <c r="Z9" s="49"/>
      <c r="AA9" s="49"/>
      <c r="AB9" s="54"/>
      <c r="AD9" t="s">
        <v>184</v>
      </c>
      <c r="AE9" s="67"/>
    </row>
    <row r="10" spans="3:31" x14ac:dyDescent="0.25">
      <c r="C10" s="50"/>
      <c r="D10" s="49"/>
      <c r="E10" s="49"/>
      <c r="F10" s="49"/>
      <c r="G10" s="49"/>
      <c r="H10" s="49"/>
      <c r="I10" s="49"/>
      <c r="J10" s="49"/>
      <c r="K10" s="52"/>
      <c r="L10" s="50"/>
      <c r="N10" s="50"/>
      <c r="O10" s="49"/>
      <c r="P10" s="51"/>
      <c r="U10" s="49"/>
      <c r="V10" s="49"/>
      <c r="W10" s="49"/>
      <c r="X10" s="49"/>
      <c r="Y10" s="49"/>
      <c r="Z10" s="49"/>
      <c r="AA10" s="49"/>
      <c r="AD10" t="s">
        <v>185</v>
      </c>
    </row>
    <row r="11" spans="3:31" x14ac:dyDescent="0.25">
      <c r="C11" s="50"/>
      <c r="D11" s="49"/>
      <c r="E11" s="49"/>
      <c r="F11" s="49"/>
      <c r="G11" s="49"/>
      <c r="H11" s="49"/>
      <c r="I11" s="49"/>
      <c r="J11" s="49"/>
      <c r="K11" s="52"/>
      <c r="L11" s="50"/>
      <c r="N11" s="50"/>
      <c r="O11" s="49"/>
      <c r="P11" s="51"/>
      <c r="U11" s="49"/>
      <c r="V11" s="49"/>
      <c r="W11" s="49"/>
      <c r="X11" s="49"/>
      <c r="Y11" s="49"/>
      <c r="Z11" s="49"/>
      <c r="AA11" s="49"/>
      <c r="AD11" t="s">
        <v>186</v>
      </c>
    </row>
    <row r="12" spans="3:31" x14ac:dyDescent="0.25">
      <c r="C12" s="50"/>
      <c r="D12" s="49"/>
      <c r="E12" s="53"/>
      <c r="F12" s="56"/>
      <c r="G12" s="53"/>
      <c r="H12" s="53"/>
      <c r="I12" s="53"/>
      <c r="J12" s="56"/>
      <c r="K12" s="60"/>
      <c r="L12" s="56"/>
      <c r="M12" s="61" t="s">
        <v>181</v>
      </c>
      <c r="N12" s="60"/>
      <c r="O12" s="56"/>
      <c r="P12" s="51"/>
      <c r="U12" s="49"/>
      <c r="V12" s="49"/>
      <c r="W12" s="49"/>
      <c r="X12" s="49"/>
      <c r="Y12" s="49"/>
      <c r="Z12" s="49"/>
      <c r="AA12" s="49"/>
      <c r="AD12"/>
    </row>
    <row r="13" spans="3:31" x14ac:dyDescent="0.25">
      <c r="C13" s="50"/>
      <c r="D13" s="49"/>
      <c r="E13" s="49"/>
      <c r="F13" s="57"/>
      <c r="G13" s="57"/>
      <c r="H13" s="64"/>
      <c r="I13" s="57"/>
      <c r="J13" s="64"/>
      <c r="K13" s="110"/>
      <c r="L13" s="64"/>
      <c r="M13" s="69"/>
      <c r="N13" s="59"/>
      <c r="O13" s="58"/>
      <c r="P13" s="51"/>
      <c r="U13" s="49"/>
      <c r="V13" s="49"/>
      <c r="W13" s="49"/>
      <c r="X13" s="49"/>
      <c r="Y13" s="49"/>
      <c r="Z13" s="49"/>
      <c r="AA13" s="49"/>
      <c r="AD13"/>
    </row>
    <row r="14" spans="3:31" x14ac:dyDescent="0.25">
      <c r="C14" s="50"/>
      <c r="D14" s="49"/>
      <c r="E14" s="49"/>
      <c r="F14" s="49"/>
      <c r="G14" s="57"/>
      <c r="H14" s="64"/>
      <c r="I14" s="57"/>
      <c r="J14" s="64"/>
      <c r="K14" s="110"/>
      <c r="L14" s="64"/>
      <c r="M14" s="55"/>
      <c r="P14" s="51"/>
      <c r="U14" s="49"/>
      <c r="V14" s="49"/>
      <c r="W14" s="49"/>
      <c r="X14" s="49"/>
      <c r="Y14" s="49"/>
      <c r="Z14" s="49"/>
      <c r="AA14" s="49"/>
      <c r="AD14"/>
    </row>
    <row r="15" spans="3:31" x14ac:dyDescent="0.25">
      <c r="C15" s="50"/>
      <c r="D15" s="49"/>
      <c r="E15" s="49"/>
      <c r="F15" s="49"/>
      <c r="G15" s="49"/>
      <c r="H15" s="49"/>
      <c r="I15" s="49"/>
      <c r="J15" s="49"/>
      <c r="K15" s="52"/>
      <c r="L15" s="50"/>
      <c r="M15" s="128" t="s">
        <v>180</v>
      </c>
      <c r="N15" s="50"/>
      <c r="O15" s="50"/>
      <c r="P15" s="51"/>
      <c r="U15" s="49"/>
      <c r="V15" s="49"/>
      <c r="W15" s="49"/>
      <c r="X15" s="49"/>
      <c r="Y15" s="49"/>
      <c r="Z15" s="49"/>
      <c r="AA15" s="49"/>
    </row>
    <row r="16" spans="3:31" x14ac:dyDescent="0.25">
      <c r="C16" s="50"/>
      <c r="D16" s="49"/>
      <c r="E16" s="49"/>
      <c r="F16" s="49"/>
      <c r="G16" s="49"/>
      <c r="H16" s="49"/>
      <c r="I16" s="49"/>
      <c r="J16" s="49"/>
      <c r="K16" s="52"/>
      <c r="L16" s="50"/>
      <c r="N16" s="50"/>
      <c r="O16" s="49"/>
      <c r="P16" s="51"/>
      <c r="U16" s="49"/>
      <c r="V16" s="49"/>
      <c r="W16" s="49"/>
      <c r="X16" s="49"/>
      <c r="Y16" s="49"/>
      <c r="Z16" s="49"/>
      <c r="AA16" s="49"/>
    </row>
    <row r="17" spans="3:30" x14ac:dyDescent="0.25">
      <c r="C17" s="50"/>
      <c r="D17" s="49"/>
      <c r="E17" s="49"/>
      <c r="F17" s="49"/>
      <c r="G17" s="49"/>
      <c r="H17" s="49"/>
      <c r="I17" s="49"/>
      <c r="J17" s="49"/>
      <c r="K17" s="52"/>
      <c r="L17" s="50"/>
      <c r="N17" s="50"/>
      <c r="O17" s="49"/>
      <c r="P17" s="51"/>
      <c r="U17" s="49"/>
      <c r="V17" s="49"/>
      <c r="W17" s="49"/>
      <c r="X17" s="49"/>
      <c r="Y17" s="49"/>
      <c r="Z17" s="49"/>
      <c r="AA17" s="49"/>
      <c r="AD17" s="48"/>
    </row>
    <row r="18" spans="3:30" x14ac:dyDescent="0.25">
      <c r="C18" s="50"/>
      <c r="D18" s="49"/>
      <c r="E18" s="53"/>
      <c r="F18" s="56"/>
      <c r="G18" s="53"/>
      <c r="H18" s="53"/>
      <c r="I18" s="53"/>
      <c r="J18" s="56"/>
      <c r="K18" s="60"/>
      <c r="L18" s="56"/>
      <c r="M18" s="61"/>
      <c r="N18" s="60"/>
      <c r="O18" s="56"/>
      <c r="P18" s="51"/>
      <c r="U18" s="49"/>
      <c r="V18" s="49"/>
      <c r="W18" s="49"/>
      <c r="X18" s="49"/>
      <c r="Y18" s="49"/>
      <c r="Z18" s="49"/>
      <c r="AA18" s="49"/>
      <c r="AD18" s="66"/>
    </row>
    <row r="19" spans="3:30" x14ac:dyDescent="0.25">
      <c r="C19" s="50"/>
      <c r="D19" s="49"/>
      <c r="E19" s="49"/>
      <c r="F19" s="57"/>
      <c r="G19" s="57"/>
      <c r="H19" s="64"/>
      <c r="I19" s="57"/>
      <c r="J19" s="64"/>
      <c r="K19" s="110"/>
      <c r="L19" s="64"/>
      <c r="M19" s="69"/>
      <c r="N19" s="59"/>
      <c r="O19" s="58"/>
      <c r="P19" s="51"/>
      <c r="U19" s="49"/>
      <c r="V19" s="49"/>
      <c r="W19" s="49"/>
      <c r="X19" s="49"/>
      <c r="Y19" s="49"/>
      <c r="Z19" s="49"/>
      <c r="AA19" s="49"/>
      <c r="AD19" s="66"/>
    </row>
    <row r="20" spans="3:30" x14ac:dyDescent="0.25">
      <c r="C20" s="50"/>
      <c r="D20" s="49"/>
      <c r="E20" s="49"/>
      <c r="F20" s="49"/>
      <c r="G20" s="57"/>
      <c r="H20" s="64"/>
      <c r="I20" s="57"/>
      <c r="J20" s="64"/>
      <c r="K20" s="110"/>
      <c r="L20" s="64"/>
      <c r="M20" s="55"/>
      <c r="P20" s="51"/>
      <c r="U20" s="49"/>
      <c r="V20" s="49"/>
      <c r="W20" s="49"/>
      <c r="X20" s="49"/>
      <c r="Y20" s="49"/>
      <c r="Z20" s="49"/>
      <c r="AA20" s="49"/>
      <c r="AD20" s="66"/>
    </row>
    <row r="21" spans="3:30" x14ac:dyDescent="0.25">
      <c r="C21" s="50"/>
      <c r="D21" s="49"/>
      <c r="E21" s="49"/>
      <c r="F21" s="49"/>
      <c r="G21" s="49"/>
      <c r="H21" s="57"/>
      <c r="I21" s="64"/>
      <c r="J21" s="64"/>
      <c r="K21" s="110"/>
      <c r="L21" s="64"/>
      <c r="M21" s="55"/>
      <c r="N21" s="50"/>
      <c r="O21" s="50"/>
      <c r="P21" s="51"/>
      <c r="U21" s="49"/>
      <c r="V21" s="49"/>
      <c r="W21" s="49"/>
      <c r="X21" s="49"/>
      <c r="Y21" s="49"/>
      <c r="Z21" s="49"/>
      <c r="AA21" s="49"/>
      <c r="AD21" s="65"/>
    </row>
    <row r="22" spans="3:30" x14ac:dyDescent="0.25">
      <c r="C22" s="50"/>
      <c r="D22" s="49"/>
      <c r="E22" s="49"/>
      <c r="F22" s="49"/>
      <c r="G22" s="49"/>
      <c r="H22" s="49"/>
      <c r="I22" s="49"/>
      <c r="J22" s="49"/>
      <c r="K22" s="52"/>
      <c r="L22" s="50"/>
      <c r="M22" s="128"/>
      <c r="N22" s="50"/>
      <c r="O22" s="49"/>
      <c r="P22" s="51"/>
      <c r="U22" s="49"/>
      <c r="V22" s="49"/>
      <c r="W22" s="49"/>
      <c r="X22" s="49"/>
      <c r="Y22" s="49"/>
      <c r="Z22" s="49"/>
      <c r="AA22" s="49"/>
    </row>
    <row r="23" spans="3:30" x14ac:dyDescent="0.25">
      <c r="C23" s="50"/>
      <c r="D23" s="49"/>
      <c r="E23" s="49"/>
      <c r="F23" s="49"/>
      <c r="G23" s="49"/>
      <c r="H23" s="49"/>
      <c r="I23" s="49"/>
      <c r="J23" s="49"/>
      <c r="K23" s="52"/>
      <c r="L23" s="50"/>
      <c r="N23" s="50"/>
      <c r="O23" s="49"/>
      <c r="P23" s="51"/>
      <c r="U23" s="49"/>
      <c r="V23" s="49"/>
      <c r="W23" s="49"/>
      <c r="X23" s="49"/>
      <c r="Y23" s="49"/>
      <c r="Z23" s="49"/>
      <c r="AA23" s="49"/>
    </row>
    <row r="24" spans="3:30" x14ac:dyDescent="0.25">
      <c r="C24" s="50"/>
      <c r="D24" s="49"/>
      <c r="E24" s="49"/>
      <c r="F24" s="49"/>
      <c r="G24" s="49"/>
      <c r="H24" s="49"/>
      <c r="I24" s="49"/>
      <c r="J24" s="49"/>
      <c r="K24" s="52"/>
      <c r="L24" s="50"/>
      <c r="N24" s="50"/>
      <c r="O24" s="49"/>
      <c r="P24" s="51"/>
      <c r="U24" s="49"/>
      <c r="V24" s="49"/>
      <c r="W24" s="49"/>
      <c r="X24" s="49"/>
      <c r="Y24" s="49"/>
      <c r="Z24" s="49"/>
      <c r="AA24" s="49"/>
      <c r="AD24" s="65"/>
    </row>
    <row r="25" spans="3:30" x14ac:dyDescent="0.25">
      <c r="C25" s="50"/>
      <c r="D25" s="49"/>
      <c r="E25" s="49"/>
      <c r="F25" s="49"/>
      <c r="G25" s="49"/>
      <c r="H25" s="49"/>
      <c r="I25" s="49"/>
      <c r="J25" s="49"/>
      <c r="K25" s="52"/>
      <c r="L25" s="50"/>
      <c r="N25" s="50"/>
      <c r="O25" s="49"/>
      <c r="P25" s="51"/>
      <c r="U25" s="49"/>
      <c r="V25" s="49"/>
      <c r="W25" s="49"/>
      <c r="X25" s="49"/>
      <c r="Y25" s="49"/>
      <c r="Z25" s="49"/>
      <c r="AA25" s="49"/>
    </row>
    <row r="26" spans="3:30" x14ac:dyDescent="0.25">
      <c r="C26" s="50"/>
      <c r="D26" s="49"/>
      <c r="E26" s="49"/>
      <c r="F26" s="49"/>
      <c r="G26" s="49"/>
      <c r="H26" s="49"/>
      <c r="I26" s="49"/>
      <c r="J26" s="49"/>
      <c r="K26" s="52"/>
      <c r="L26" s="50"/>
      <c r="N26" s="50"/>
      <c r="O26" s="49"/>
      <c r="P26" s="51"/>
      <c r="U26" s="49"/>
      <c r="V26" s="49"/>
      <c r="W26" s="49"/>
      <c r="X26" s="49"/>
      <c r="Y26" s="49"/>
      <c r="Z26" s="49"/>
      <c r="AA26" s="49"/>
    </row>
    <row r="27" spans="3:30" x14ac:dyDescent="0.25">
      <c r="C27" s="50"/>
      <c r="D27" s="49"/>
      <c r="E27" s="49"/>
      <c r="F27" s="49"/>
      <c r="G27" s="49"/>
      <c r="H27" s="49"/>
      <c r="I27" s="49"/>
      <c r="J27" s="49"/>
      <c r="K27" s="52"/>
      <c r="L27" s="50"/>
      <c r="N27" s="50"/>
      <c r="O27" s="49"/>
      <c r="P27" s="51"/>
      <c r="U27" s="49"/>
      <c r="V27" s="49"/>
      <c r="W27" s="49"/>
      <c r="X27" s="49"/>
      <c r="Y27" s="49"/>
      <c r="Z27" s="49"/>
      <c r="AA27" s="49"/>
    </row>
    <row r="28" spans="3:30" x14ac:dyDescent="0.25">
      <c r="C28" s="50"/>
      <c r="D28" s="49"/>
      <c r="E28" s="49"/>
      <c r="F28" s="49"/>
      <c r="G28" s="49"/>
      <c r="H28" s="49"/>
      <c r="I28" s="49"/>
      <c r="J28" s="49"/>
      <c r="K28" s="52"/>
      <c r="L28" s="50"/>
      <c r="N28" s="50"/>
      <c r="O28" s="49"/>
      <c r="P28" s="51"/>
      <c r="U28" s="49"/>
      <c r="V28" s="49"/>
      <c r="W28" s="49"/>
      <c r="X28" s="49"/>
      <c r="Y28" s="49"/>
      <c r="Z28" s="49"/>
      <c r="AA28" s="49"/>
    </row>
    <row r="29" spans="3:30" x14ac:dyDescent="0.25">
      <c r="C29" s="50"/>
      <c r="D29" s="49"/>
      <c r="E29" s="49"/>
      <c r="F29" s="49"/>
      <c r="G29" s="49"/>
      <c r="H29" s="49"/>
      <c r="I29" s="49"/>
      <c r="J29" s="49"/>
      <c r="K29" s="52"/>
      <c r="L29" s="50"/>
      <c r="N29" s="50"/>
      <c r="O29" s="49"/>
      <c r="P29" s="51"/>
      <c r="U29" s="49"/>
      <c r="V29" s="49"/>
      <c r="W29" s="49"/>
      <c r="X29" s="49"/>
      <c r="Y29" s="49"/>
      <c r="Z29" s="49"/>
      <c r="AA29" s="49"/>
    </row>
    <row r="30" spans="3:30" x14ac:dyDescent="0.25">
      <c r="C30" s="50"/>
      <c r="D30" s="49"/>
      <c r="E30" s="49"/>
      <c r="F30" s="49"/>
      <c r="G30" s="49"/>
      <c r="H30" s="49"/>
      <c r="I30" s="49"/>
      <c r="J30" s="49"/>
      <c r="K30" s="52"/>
      <c r="L30" s="50"/>
      <c r="N30" s="50"/>
      <c r="O30" s="49"/>
      <c r="P30" s="51"/>
      <c r="U30" s="49"/>
      <c r="V30" s="49"/>
      <c r="W30" s="49"/>
      <c r="X30" s="49"/>
      <c r="Y30" s="49"/>
      <c r="Z30" s="49"/>
      <c r="AA30" s="49"/>
    </row>
    <row r="31" spans="3:30" x14ac:dyDescent="0.25">
      <c r="C31" s="50"/>
      <c r="D31" s="49"/>
      <c r="E31" s="49"/>
      <c r="F31" s="49"/>
      <c r="G31" s="49"/>
      <c r="H31" s="49"/>
      <c r="I31" s="49"/>
      <c r="J31" s="49"/>
      <c r="K31" s="52"/>
      <c r="L31" s="50"/>
      <c r="N31" s="50"/>
      <c r="O31" s="49"/>
      <c r="P31" s="51"/>
      <c r="U31" s="49"/>
      <c r="V31" s="49"/>
      <c r="W31" s="49"/>
      <c r="X31" s="49"/>
      <c r="Y31" s="49"/>
      <c r="Z31" s="49"/>
      <c r="AA31" s="49"/>
    </row>
    <row r="32" spans="3:30" x14ac:dyDescent="0.25">
      <c r="C32" s="50"/>
      <c r="D32" s="49"/>
      <c r="E32" s="49"/>
      <c r="F32" s="49"/>
      <c r="G32" s="49"/>
      <c r="H32" s="49"/>
      <c r="I32" s="49"/>
      <c r="J32" s="49"/>
      <c r="K32" s="52"/>
      <c r="L32" s="50"/>
      <c r="N32" s="50"/>
      <c r="O32" s="49"/>
      <c r="P32" s="51"/>
      <c r="U32" s="49"/>
      <c r="V32" s="49"/>
      <c r="W32" s="49"/>
      <c r="X32" s="49"/>
      <c r="Y32" s="49"/>
      <c r="Z32" s="49"/>
      <c r="AA32" s="49"/>
    </row>
    <row r="33" spans="3:27" x14ac:dyDescent="0.25">
      <c r="C33" s="50"/>
      <c r="D33" s="49"/>
      <c r="E33" s="49"/>
      <c r="F33" s="49"/>
      <c r="G33" s="49"/>
      <c r="H33" s="49"/>
      <c r="I33" s="49"/>
      <c r="J33" s="49"/>
      <c r="K33" s="52"/>
      <c r="L33" s="50"/>
      <c r="N33" s="50"/>
      <c r="O33" s="49"/>
      <c r="P33" s="51"/>
      <c r="U33" s="49"/>
      <c r="V33" s="49"/>
      <c r="W33" s="49"/>
      <c r="X33" s="49"/>
      <c r="Y33" s="49"/>
      <c r="Z33" s="49"/>
      <c r="AA33" s="49"/>
    </row>
    <row r="34" spans="3:27" x14ac:dyDescent="0.25">
      <c r="C34" s="50"/>
      <c r="D34" s="49"/>
      <c r="E34" s="49"/>
      <c r="F34" s="49"/>
      <c r="G34" s="49"/>
      <c r="H34" s="49"/>
      <c r="I34" s="49"/>
      <c r="J34" s="49"/>
      <c r="K34" s="52"/>
      <c r="L34" s="50"/>
      <c r="N34" s="50"/>
      <c r="O34" s="49"/>
      <c r="P34" s="51"/>
      <c r="U34" s="49"/>
      <c r="V34" s="49"/>
      <c r="W34" s="49"/>
      <c r="X34" s="49"/>
      <c r="Y34" s="49"/>
      <c r="Z34" s="49"/>
      <c r="AA34" s="49"/>
    </row>
    <row r="35" spans="3:27" x14ac:dyDescent="0.25">
      <c r="C35" s="50"/>
      <c r="D35" s="49"/>
      <c r="E35" s="49"/>
      <c r="F35" s="49"/>
      <c r="G35" s="49"/>
      <c r="H35" s="49"/>
      <c r="I35" s="49"/>
      <c r="J35" s="49"/>
      <c r="K35" s="52"/>
      <c r="L35" s="50"/>
      <c r="N35" s="50"/>
      <c r="O35" s="49"/>
      <c r="P35" s="51"/>
      <c r="U35" s="49"/>
      <c r="V35" s="49"/>
      <c r="W35" s="49"/>
      <c r="X35" s="49"/>
      <c r="Y35" s="49"/>
      <c r="Z35" s="49"/>
      <c r="AA35" s="49"/>
    </row>
    <row r="36" spans="3:27" x14ac:dyDescent="0.25">
      <c r="C36" s="50"/>
      <c r="D36" s="49"/>
      <c r="E36" s="49"/>
      <c r="F36" s="49"/>
      <c r="G36" s="49"/>
      <c r="H36" s="49"/>
      <c r="I36" s="49"/>
      <c r="J36" s="49"/>
      <c r="K36" s="52"/>
      <c r="L36" s="50"/>
      <c r="N36" s="50"/>
      <c r="O36" s="49"/>
      <c r="P36" s="51"/>
      <c r="U36" s="49"/>
      <c r="V36" s="49"/>
      <c r="W36" s="49"/>
      <c r="X36" s="49"/>
      <c r="Y36" s="49"/>
      <c r="Z36" s="49"/>
      <c r="AA36" s="49"/>
    </row>
    <row r="37" spans="3:27" x14ac:dyDescent="0.25">
      <c r="C37" s="50"/>
      <c r="D37" s="49"/>
      <c r="E37" s="49"/>
      <c r="F37" s="49"/>
      <c r="G37" s="49"/>
      <c r="H37" s="49"/>
      <c r="I37" s="49"/>
      <c r="J37" s="49"/>
      <c r="K37" s="52"/>
      <c r="L37" s="50"/>
      <c r="N37" s="50"/>
      <c r="O37" s="49"/>
      <c r="P37" s="51"/>
      <c r="U37" s="49"/>
      <c r="V37" s="49"/>
      <c r="W37" s="49"/>
      <c r="X37" s="49"/>
      <c r="Y37" s="49"/>
      <c r="Z37" s="49"/>
      <c r="AA37" s="49"/>
    </row>
    <row r="38" spans="3:27" x14ac:dyDescent="0.25">
      <c r="D38" s="49"/>
      <c r="E38" s="49"/>
      <c r="F38" s="49"/>
      <c r="G38" s="49"/>
      <c r="H38" s="49"/>
      <c r="I38" s="49"/>
      <c r="J38" s="49"/>
      <c r="K38" s="52"/>
      <c r="L38" s="50"/>
      <c r="N38" s="50"/>
      <c r="O38" s="49"/>
      <c r="P38" s="51"/>
      <c r="U38" s="49"/>
      <c r="V38" s="49"/>
      <c r="W38" s="49"/>
      <c r="X38" s="49"/>
      <c r="Y38" s="49"/>
      <c r="Z38" s="49"/>
      <c r="AA38" s="49"/>
    </row>
    <row r="39" spans="3:27" x14ac:dyDescent="0.25">
      <c r="D39" s="49"/>
      <c r="E39" s="49"/>
      <c r="F39" s="49"/>
      <c r="G39" s="49"/>
      <c r="H39" s="49"/>
      <c r="I39" s="49"/>
      <c r="J39" s="49"/>
      <c r="K39" s="52"/>
      <c r="L39" s="50"/>
      <c r="N39" s="50"/>
      <c r="O39" s="49"/>
      <c r="P39" s="51"/>
      <c r="U39" s="49"/>
      <c r="V39" s="49"/>
      <c r="W39" s="49"/>
      <c r="X39" s="49"/>
      <c r="Y39" s="49"/>
      <c r="Z39" s="49"/>
      <c r="AA39" s="49"/>
    </row>
    <row r="40" spans="3:27" x14ac:dyDescent="0.25">
      <c r="D40" s="49"/>
      <c r="E40" s="49"/>
      <c r="F40" s="49"/>
      <c r="G40" s="49"/>
      <c r="H40" s="49"/>
      <c r="I40" s="49"/>
      <c r="J40" s="49"/>
      <c r="K40" s="52"/>
      <c r="L40" s="50"/>
      <c r="N40" s="50"/>
      <c r="O40" s="49"/>
      <c r="P40" s="51"/>
      <c r="U40" s="49"/>
      <c r="V40" s="49"/>
      <c r="W40" s="49"/>
      <c r="X40" s="49"/>
      <c r="Y40" s="49"/>
      <c r="Z40" s="49"/>
      <c r="AA40" s="49"/>
    </row>
    <row r="41" spans="3:27" x14ac:dyDescent="0.25">
      <c r="D41" s="49"/>
      <c r="E41" s="49"/>
      <c r="F41" s="49"/>
      <c r="G41" s="49"/>
      <c r="H41" s="49"/>
      <c r="I41" s="49"/>
      <c r="J41" s="49"/>
      <c r="K41" s="52"/>
      <c r="L41" s="50"/>
      <c r="N41" s="50"/>
      <c r="O41" s="49"/>
      <c r="P41" s="51"/>
      <c r="U41" s="49"/>
      <c r="V41" s="49"/>
      <c r="W41" s="49"/>
      <c r="X41" s="49"/>
      <c r="Y41" s="49"/>
      <c r="Z41" s="49"/>
      <c r="AA41" s="49"/>
    </row>
    <row r="42" spans="3:27" x14ac:dyDescent="0.25">
      <c r="D42" s="49"/>
      <c r="E42" s="49"/>
      <c r="F42" s="49"/>
      <c r="G42" s="49"/>
      <c r="H42" s="49"/>
      <c r="I42" s="49"/>
      <c r="J42" s="49"/>
      <c r="K42" s="52"/>
      <c r="L42" s="50"/>
      <c r="N42" s="50"/>
      <c r="O42" s="49"/>
      <c r="P42" s="51"/>
      <c r="U42" s="49"/>
      <c r="V42" s="49"/>
      <c r="W42" s="49"/>
      <c r="X42" s="49"/>
      <c r="Y42" s="49"/>
      <c r="Z42" s="49"/>
      <c r="AA42" s="49"/>
    </row>
    <row r="43" spans="3:27" x14ac:dyDescent="0.25">
      <c r="D43" s="49"/>
      <c r="E43" s="49"/>
      <c r="F43" s="49"/>
      <c r="G43" s="49"/>
      <c r="H43" s="49"/>
      <c r="I43" s="49"/>
      <c r="J43" s="49"/>
      <c r="K43" s="52"/>
      <c r="L43" s="50"/>
      <c r="N43" s="50"/>
      <c r="O43" s="49"/>
      <c r="P43" s="51"/>
      <c r="U43" s="49"/>
      <c r="V43" s="49"/>
      <c r="W43" s="49"/>
      <c r="X43" s="49"/>
      <c r="Y43" s="49"/>
      <c r="Z43" s="49"/>
      <c r="AA43" s="49"/>
    </row>
    <row r="44" spans="3:27" x14ac:dyDescent="0.25">
      <c r="D44" s="49"/>
      <c r="E44" s="49"/>
      <c r="F44" s="49"/>
      <c r="G44" s="49"/>
      <c r="H44" s="49"/>
      <c r="I44" s="49"/>
      <c r="J44" s="49"/>
      <c r="K44" s="52"/>
      <c r="L44" s="50"/>
      <c r="N44" s="50"/>
      <c r="O44" s="49"/>
      <c r="P44" s="51"/>
      <c r="U44" s="49"/>
      <c r="V44" s="49"/>
      <c r="W44" s="49"/>
      <c r="X44" s="49"/>
      <c r="Y44" s="49"/>
      <c r="Z44" s="49"/>
      <c r="AA44" s="49"/>
    </row>
    <row r="45" spans="3:27" x14ac:dyDescent="0.25">
      <c r="D45" s="49"/>
      <c r="E45" s="49"/>
      <c r="F45" s="49"/>
      <c r="G45" s="49"/>
      <c r="H45" s="49"/>
      <c r="I45" s="49"/>
      <c r="J45" s="49"/>
      <c r="K45" s="52"/>
      <c r="L45" s="50"/>
      <c r="N45" s="50"/>
      <c r="O45" s="49"/>
      <c r="P45" s="51"/>
      <c r="U45" s="49"/>
      <c r="V45" s="49"/>
      <c r="W45" s="49"/>
      <c r="X45" s="49"/>
      <c r="Y45" s="49"/>
      <c r="Z45" s="49"/>
      <c r="AA45" s="49"/>
    </row>
    <row r="46" spans="3:27" x14ac:dyDescent="0.25">
      <c r="D46" s="49"/>
      <c r="E46" s="49"/>
      <c r="F46" s="49"/>
      <c r="G46" s="49"/>
      <c r="H46" s="49"/>
      <c r="I46" s="49"/>
      <c r="J46" s="49"/>
      <c r="K46" s="52"/>
      <c r="L46" s="50"/>
      <c r="N46" s="50"/>
      <c r="O46" s="49"/>
      <c r="P46" s="51"/>
      <c r="U46" s="49"/>
      <c r="V46" s="49"/>
      <c r="W46" s="49"/>
      <c r="X46" s="49"/>
      <c r="Y46" s="49"/>
      <c r="Z46" s="49"/>
      <c r="AA46" s="49"/>
    </row>
    <row r="47" spans="3:27" x14ac:dyDescent="0.25">
      <c r="D47" s="49"/>
      <c r="E47" s="49"/>
      <c r="F47" s="49"/>
      <c r="G47" s="49"/>
      <c r="H47" s="49"/>
      <c r="I47" s="49"/>
      <c r="J47" s="49"/>
      <c r="K47" s="52"/>
      <c r="L47" s="50"/>
      <c r="N47" s="50"/>
      <c r="O47" s="49"/>
      <c r="P47" s="51"/>
      <c r="U47" s="49"/>
      <c r="V47" s="49"/>
      <c r="W47" s="49"/>
      <c r="X47" s="49"/>
      <c r="Y47" s="49"/>
      <c r="Z47" s="49"/>
      <c r="AA47" s="49"/>
    </row>
    <row r="48" spans="3:27" x14ac:dyDescent="0.25">
      <c r="D48" s="49"/>
      <c r="E48" s="49"/>
      <c r="F48" s="49"/>
      <c r="G48" s="49"/>
      <c r="H48" s="49"/>
      <c r="I48" s="49"/>
      <c r="J48" s="49"/>
      <c r="K48" s="52"/>
      <c r="L48" s="50"/>
      <c r="N48" s="50"/>
      <c r="O48" s="49"/>
      <c r="P48" s="51"/>
      <c r="U48" s="49"/>
      <c r="V48" s="49"/>
      <c r="W48" s="49"/>
      <c r="X48" s="49"/>
      <c r="Y48" s="49"/>
      <c r="Z48" s="49"/>
      <c r="AA48" s="49"/>
    </row>
    <row r="49" spans="4:27" x14ac:dyDescent="0.25">
      <c r="D49" s="49"/>
      <c r="E49" s="49"/>
      <c r="F49" s="49"/>
      <c r="G49" s="49"/>
      <c r="H49" s="49"/>
      <c r="I49" s="49"/>
      <c r="J49" s="49"/>
      <c r="K49" s="52"/>
      <c r="L49" s="50"/>
      <c r="N49" s="50"/>
      <c r="O49" s="49"/>
      <c r="P49" s="51"/>
      <c r="U49" s="49"/>
      <c r="V49" s="49"/>
      <c r="W49" s="49"/>
      <c r="X49" s="49"/>
      <c r="Y49" s="49"/>
      <c r="Z49" s="49"/>
      <c r="AA49" s="49"/>
    </row>
    <row r="50" spans="4:27" x14ac:dyDescent="0.25">
      <c r="D50" s="49"/>
      <c r="E50" s="49"/>
      <c r="F50" s="49"/>
      <c r="G50" s="49"/>
      <c r="H50" s="49"/>
      <c r="I50" s="49"/>
      <c r="J50" s="49"/>
      <c r="K50" s="52"/>
      <c r="L50" s="50"/>
      <c r="N50" s="50"/>
      <c r="O50" s="49"/>
      <c r="P50" s="51"/>
      <c r="U50" s="49"/>
      <c r="V50" s="49"/>
      <c r="W50" s="49"/>
      <c r="X50" s="49"/>
      <c r="Y50" s="49"/>
      <c r="Z50" s="49"/>
      <c r="AA50" s="49"/>
    </row>
    <row r="51" spans="4:27" x14ac:dyDescent="0.25">
      <c r="D51" s="49"/>
      <c r="E51" s="49"/>
      <c r="F51" s="49"/>
      <c r="G51" s="49"/>
      <c r="H51" s="49"/>
      <c r="I51" s="49"/>
      <c r="J51" s="49"/>
      <c r="K51" s="52"/>
      <c r="L51" s="50"/>
      <c r="N51" s="50"/>
      <c r="O51" s="49"/>
      <c r="P51" s="51"/>
      <c r="U51" s="49"/>
      <c r="V51" s="49"/>
      <c r="W51" s="49"/>
      <c r="X51" s="49"/>
      <c r="Y51" s="49"/>
      <c r="Z51" s="49"/>
      <c r="AA51" s="49"/>
    </row>
    <row r="52" spans="4:27" x14ac:dyDescent="0.25">
      <c r="D52" s="49"/>
      <c r="E52" s="49"/>
      <c r="F52" s="49"/>
      <c r="G52" s="49"/>
      <c r="H52" s="49"/>
      <c r="I52" s="49"/>
      <c r="J52" s="49"/>
      <c r="K52" s="52"/>
      <c r="L52" s="50"/>
      <c r="N52" s="50"/>
      <c r="O52" s="49"/>
      <c r="P52" s="51"/>
      <c r="U52" s="49"/>
      <c r="V52" s="49"/>
      <c r="W52" s="49"/>
      <c r="X52" s="49"/>
      <c r="Y52" s="49"/>
      <c r="Z52" s="49"/>
      <c r="AA52" s="49"/>
    </row>
    <row r="53" spans="4:27" x14ac:dyDescent="0.25">
      <c r="D53" s="49"/>
      <c r="E53" s="49"/>
      <c r="F53" s="49"/>
      <c r="G53" s="49"/>
      <c r="H53" s="49"/>
      <c r="I53" s="49"/>
      <c r="J53" s="49"/>
      <c r="K53" s="52"/>
      <c r="L53" s="50"/>
      <c r="N53" s="50"/>
      <c r="O53" s="49"/>
      <c r="P53" s="51"/>
      <c r="U53" s="49"/>
      <c r="V53" s="49"/>
      <c r="W53" s="49"/>
      <c r="X53" s="49"/>
      <c r="Y53" s="49"/>
      <c r="Z53" s="49"/>
      <c r="AA53" s="49"/>
    </row>
    <row r="54" spans="4:27" x14ac:dyDescent="0.25">
      <c r="D54" s="49"/>
      <c r="E54" s="49"/>
      <c r="F54" s="49"/>
      <c r="G54" s="49"/>
      <c r="H54" s="49"/>
      <c r="I54" s="49"/>
      <c r="J54" s="49"/>
      <c r="K54" s="52"/>
      <c r="L54" s="50"/>
      <c r="N54" s="50"/>
      <c r="O54" s="49"/>
      <c r="P54" s="51"/>
      <c r="U54" s="49"/>
      <c r="V54" s="49"/>
      <c r="W54" s="49"/>
      <c r="X54" s="49"/>
      <c r="Y54" s="49"/>
      <c r="Z54" s="49"/>
      <c r="AA54" s="49"/>
    </row>
    <row r="55" spans="4:27" x14ac:dyDescent="0.25">
      <c r="D55" s="49"/>
      <c r="E55" s="49"/>
      <c r="F55" s="49"/>
      <c r="G55" s="49"/>
      <c r="H55" s="49"/>
      <c r="I55" s="49"/>
      <c r="J55" s="49"/>
      <c r="K55" s="52"/>
      <c r="L55" s="50"/>
      <c r="N55" s="50"/>
      <c r="O55" s="49"/>
      <c r="P55" s="51"/>
      <c r="U55" s="49"/>
      <c r="V55" s="49"/>
      <c r="W55" s="49"/>
      <c r="X55" s="49"/>
      <c r="Y55" s="49"/>
      <c r="Z55" s="49"/>
      <c r="AA55" s="49"/>
    </row>
    <row r="56" spans="4:27" x14ac:dyDescent="0.25">
      <c r="D56" s="49"/>
      <c r="E56" s="49"/>
      <c r="F56" s="49"/>
      <c r="G56" s="49"/>
      <c r="H56" s="49"/>
      <c r="I56" s="49"/>
      <c r="J56" s="49"/>
      <c r="K56" s="52"/>
      <c r="L56" s="50"/>
      <c r="N56" s="50"/>
      <c r="O56" s="49"/>
      <c r="P56" s="51"/>
      <c r="U56" s="49"/>
      <c r="V56" s="49"/>
      <c r="W56" s="49"/>
      <c r="X56" s="49"/>
      <c r="Y56" s="49"/>
      <c r="Z56" s="49"/>
      <c r="AA56" s="49"/>
    </row>
    <row r="57" spans="4:27" x14ac:dyDescent="0.25">
      <c r="D57" s="49"/>
      <c r="E57" s="49"/>
      <c r="F57" s="49"/>
      <c r="G57" s="49"/>
      <c r="H57" s="49"/>
      <c r="I57" s="49"/>
      <c r="J57" s="49"/>
      <c r="K57" s="52"/>
      <c r="L57" s="50"/>
      <c r="N57" s="50"/>
      <c r="O57" s="49"/>
      <c r="P57" s="51"/>
      <c r="U57" s="49"/>
      <c r="V57" s="49"/>
      <c r="W57" s="49"/>
      <c r="X57" s="49"/>
      <c r="Y57" s="49"/>
      <c r="Z57" s="49"/>
      <c r="AA57" s="49"/>
    </row>
    <row r="58" spans="4:27" x14ac:dyDescent="0.25">
      <c r="D58" s="49"/>
      <c r="E58" s="49"/>
      <c r="F58" s="49"/>
      <c r="G58" s="49"/>
      <c r="H58" s="49"/>
      <c r="I58" s="49"/>
      <c r="J58" s="49"/>
      <c r="K58" s="52"/>
      <c r="L58" s="50"/>
      <c r="N58" s="50"/>
      <c r="O58" s="49"/>
      <c r="P58" s="51"/>
      <c r="U58" s="49"/>
      <c r="V58" s="49"/>
      <c r="W58" s="49"/>
      <c r="X58" s="49"/>
      <c r="Y58" s="49"/>
      <c r="Z58" s="49"/>
      <c r="AA58" s="49"/>
    </row>
    <row r="59" spans="4:27" x14ac:dyDescent="0.25">
      <c r="D59" s="49"/>
      <c r="E59" s="49"/>
      <c r="F59" s="49"/>
      <c r="G59" s="49"/>
      <c r="H59" s="49"/>
      <c r="I59" s="49"/>
      <c r="J59" s="49"/>
      <c r="K59" s="52"/>
      <c r="L59" s="50"/>
      <c r="N59" s="50"/>
      <c r="O59" s="49"/>
      <c r="P59" s="51"/>
      <c r="U59" s="49"/>
      <c r="V59" s="49"/>
      <c r="W59" s="49"/>
      <c r="X59" s="49"/>
      <c r="Y59" s="49"/>
      <c r="Z59" s="49"/>
      <c r="AA59" s="49"/>
    </row>
    <row r="60" spans="4:27" x14ac:dyDescent="0.25">
      <c r="D60" s="49"/>
      <c r="E60" s="49"/>
      <c r="F60" s="49"/>
      <c r="G60" s="49"/>
      <c r="H60" s="49"/>
      <c r="I60" s="49"/>
      <c r="J60" s="49"/>
      <c r="K60" s="52"/>
      <c r="L60" s="50"/>
      <c r="N60" s="50"/>
      <c r="O60" s="49"/>
      <c r="P60" s="51"/>
      <c r="U60" s="49"/>
      <c r="V60" s="49"/>
      <c r="W60" s="49"/>
      <c r="X60" s="49"/>
      <c r="Y60" s="49"/>
      <c r="Z60" s="49"/>
      <c r="AA60" s="49"/>
    </row>
    <row r="61" spans="4:27" x14ac:dyDescent="0.25">
      <c r="D61" s="49"/>
      <c r="E61" s="49"/>
      <c r="F61" s="49"/>
      <c r="G61" s="49"/>
      <c r="H61" s="49"/>
      <c r="I61" s="49"/>
      <c r="J61" s="49"/>
      <c r="K61" s="52"/>
      <c r="L61" s="50"/>
      <c r="N61" s="50"/>
      <c r="O61" s="49"/>
      <c r="P61" s="51"/>
      <c r="U61" s="49"/>
      <c r="V61" s="49"/>
      <c r="W61" s="49"/>
      <c r="X61" s="49"/>
      <c r="Y61" s="49"/>
      <c r="Z61" s="49"/>
      <c r="AA61" s="49"/>
    </row>
    <row r="62" spans="4:27" x14ac:dyDescent="0.25">
      <c r="D62" s="49"/>
      <c r="E62" s="49"/>
      <c r="F62" s="49"/>
      <c r="G62" s="49"/>
      <c r="H62" s="49"/>
      <c r="I62" s="49"/>
      <c r="J62" s="49"/>
      <c r="K62" s="52"/>
      <c r="L62" s="50"/>
      <c r="N62" s="50"/>
      <c r="O62" s="49"/>
      <c r="P62" s="51"/>
      <c r="U62" s="49"/>
      <c r="V62" s="49"/>
      <c r="W62" s="49"/>
      <c r="X62" s="49"/>
      <c r="Y62" s="49"/>
      <c r="Z62" s="49"/>
      <c r="AA62" s="49"/>
    </row>
    <row r="63" spans="4:27" x14ac:dyDescent="0.25">
      <c r="D63" s="49"/>
      <c r="E63" s="49"/>
      <c r="F63" s="49"/>
      <c r="G63" s="49"/>
      <c r="H63" s="49"/>
      <c r="I63" s="49"/>
      <c r="J63" s="49"/>
      <c r="K63" s="52"/>
      <c r="L63" s="50"/>
      <c r="N63" s="50"/>
      <c r="O63" s="49"/>
      <c r="P63" s="51"/>
      <c r="U63" s="49"/>
      <c r="V63" s="49"/>
      <c r="W63" s="49"/>
      <c r="X63" s="49"/>
      <c r="Y63" s="49"/>
      <c r="Z63" s="49"/>
      <c r="AA63" s="49"/>
    </row>
    <row r="64" spans="4:27" x14ac:dyDescent="0.25">
      <c r="D64" s="49"/>
      <c r="E64" s="49"/>
      <c r="F64" s="49"/>
      <c r="G64" s="49"/>
      <c r="H64" s="49"/>
      <c r="I64" s="49"/>
      <c r="J64" s="49"/>
      <c r="K64" s="52"/>
      <c r="L64" s="50"/>
      <c r="N64" s="50"/>
      <c r="O64" s="49"/>
      <c r="P64" s="51"/>
      <c r="U64" s="49"/>
      <c r="V64" s="49"/>
      <c r="W64" s="49"/>
      <c r="X64" s="49"/>
      <c r="Y64" s="49"/>
      <c r="Z64" s="49"/>
      <c r="AA64" s="49"/>
    </row>
    <row r="65" spans="4:27" x14ac:dyDescent="0.25">
      <c r="D65" s="49"/>
      <c r="E65" s="49"/>
      <c r="F65" s="49"/>
      <c r="G65" s="49"/>
      <c r="H65" s="49"/>
      <c r="I65" s="49"/>
      <c r="J65" s="49"/>
      <c r="K65" s="52"/>
      <c r="L65" s="50"/>
      <c r="N65" s="50"/>
      <c r="O65" s="49"/>
      <c r="P65" s="51"/>
      <c r="U65" s="49"/>
      <c r="V65" s="49"/>
      <c r="W65" s="49"/>
      <c r="X65" s="49"/>
      <c r="Y65" s="49"/>
      <c r="Z65" s="49"/>
      <c r="AA65" s="49"/>
    </row>
    <row r="66" spans="4:27" x14ac:dyDescent="0.25">
      <c r="D66" s="49"/>
      <c r="E66" s="49"/>
      <c r="F66" s="49"/>
      <c r="G66" s="49"/>
      <c r="H66" s="49"/>
      <c r="I66" s="49"/>
      <c r="J66" s="49"/>
      <c r="K66" s="52"/>
      <c r="L66" s="50"/>
      <c r="N66" s="50"/>
      <c r="O66" s="49"/>
      <c r="P66" s="51"/>
      <c r="U66" s="49"/>
      <c r="V66" s="49"/>
      <c r="W66" s="49"/>
      <c r="X66" s="49"/>
      <c r="Y66" s="49"/>
      <c r="Z66" s="49"/>
      <c r="AA66" s="49"/>
    </row>
    <row r="67" spans="4:27" x14ac:dyDescent="0.25">
      <c r="D67" s="49"/>
      <c r="E67" s="49"/>
      <c r="F67" s="49"/>
      <c r="G67" s="49"/>
      <c r="H67" s="49"/>
      <c r="I67" s="49"/>
      <c r="J67" s="49"/>
      <c r="K67" s="52"/>
      <c r="L67" s="50"/>
      <c r="N67" s="50"/>
      <c r="O67" s="49"/>
      <c r="P67" s="51"/>
      <c r="U67" s="49"/>
      <c r="V67" s="49"/>
      <c r="W67" s="49"/>
      <c r="X67" s="49"/>
      <c r="Y67" s="49"/>
      <c r="Z67" s="49"/>
      <c r="AA67" s="49"/>
    </row>
    <row r="68" spans="4:27" x14ac:dyDescent="0.25">
      <c r="D68" s="49"/>
      <c r="E68" s="49"/>
      <c r="F68" s="49"/>
      <c r="G68" s="49"/>
      <c r="H68" s="49"/>
      <c r="I68" s="49"/>
      <c r="J68" s="49"/>
      <c r="K68" s="52"/>
      <c r="L68" s="50"/>
      <c r="N68" s="50"/>
      <c r="O68" s="49"/>
      <c r="P68" s="51"/>
      <c r="U68" s="49"/>
      <c r="V68" s="49"/>
      <c r="W68" s="49"/>
      <c r="X68" s="49"/>
      <c r="Y68" s="49"/>
      <c r="Z68" s="49"/>
      <c r="AA68" s="49"/>
    </row>
    <row r="69" spans="4:27" x14ac:dyDescent="0.25">
      <c r="D69" s="49"/>
      <c r="E69" s="49"/>
      <c r="F69" s="49"/>
      <c r="G69" s="49"/>
      <c r="H69" s="49"/>
      <c r="I69" s="49"/>
      <c r="J69" s="49"/>
      <c r="K69" s="52"/>
      <c r="L69" s="50"/>
      <c r="N69" s="50"/>
      <c r="O69" s="49"/>
      <c r="P69" s="51"/>
      <c r="U69" s="49"/>
      <c r="V69" s="49"/>
      <c r="W69" s="49"/>
      <c r="X69" s="49"/>
      <c r="Y69" s="49"/>
      <c r="Z69" s="49"/>
      <c r="AA69" s="49"/>
    </row>
    <row r="70" spans="4:27" x14ac:dyDescent="0.25">
      <c r="D70" s="49"/>
      <c r="E70" s="49"/>
      <c r="F70" s="49"/>
      <c r="G70" s="49"/>
      <c r="H70" s="49"/>
      <c r="I70" s="49"/>
      <c r="J70" s="49"/>
      <c r="K70" s="52"/>
      <c r="L70" s="50"/>
      <c r="N70" s="50"/>
      <c r="O70" s="49"/>
      <c r="P70" s="51"/>
      <c r="U70" s="49"/>
      <c r="V70" s="49"/>
      <c r="W70" s="49"/>
      <c r="X70" s="49"/>
      <c r="Y70" s="49"/>
      <c r="Z70" s="49"/>
      <c r="AA70" s="49"/>
    </row>
    <row r="71" spans="4:27" x14ac:dyDescent="0.25">
      <c r="D71" s="49"/>
      <c r="E71" s="49"/>
      <c r="F71" s="49"/>
      <c r="G71" s="49"/>
      <c r="H71" s="49"/>
      <c r="I71" s="49"/>
      <c r="J71" s="49"/>
      <c r="K71" s="52"/>
      <c r="L71" s="50"/>
      <c r="N71" s="50"/>
      <c r="O71" s="49"/>
      <c r="P71" s="51"/>
      <c r="U71" s="49"/>
      <c r="V71" s="49"/>
      <c r="W71" s="49"/>
      <c r="X71" s="49"/>
      <c r="Y71" s="49"/>
      <c r="Z71" s="49"/>
      <c r="AA71" s="49"/>
    </row>
    <row r="72" spans="4:27" x14ac:dyDescent="0.25">
      <c r="D72" s="49"/>
      <c r="E72" s="49"/>
      <c r="F72" s="49"/>
      <c r="G72" s="49"/>
      <c r="H72" s="49"/>
      <c r="I72" s="49"/>
      <c r="J72" s="49"/>
      <c r="K72" s="52"/>
      <c r="L72" s="50"/>
      <c r="N72" s="50"/>
      <c r="O72" s="49"/>
      <c r="P72" s="51"/>
      <c r="U72" s="49"/>
      <c r="V72" s="49"/>
      <c r="W72" s="49"/>
      <c r="X72" s="49"/>
      <c r="Y72" s="49"/>
      <c r="Z72" s="49"/>
      <c r="AA72" s="49"/>
    </row>
    <row r="73" spans="4:27" x14ac:dyDescent="0.25">
      <c r="D73" s="49"/>
      <c r="E73" s="49"/>
      <c r="F73" s="49"/>
      <c r="G73" s="49"/>
      <c r="H73" s="49"/>
      <c r="I73" s="49"/>
      <c r="J73" s="49"/>
      <c r="K73" s="52"/>
      <c r="L73" s="50"/>
      <c r="N73" s="50"/>
      <c r="O73" s="49"/>
      <c r="P73" s="51"/>
      <c r="U73" s="49"/>
      <c r="V73" s="49"/>
      <c r="W73" s="49"/>
      <c r="X73" s="49"/>
      <c r="Y73" s="49"/>
      <c r="Z73" s="49"/>
      <c r="AA73" s="49"/>
    </row>
    <row r="74" spans="4:27" x14ac:dyDescent="0.25">
      <c r="D74" s="49"/>
      <c r="E74" s="49"/>
      <c r="F74" s="49"/>
      <c r="G74" s="49"/>
      <c r="H74" s="49"/>
      <c r="I74" s="49"/>
      <c r="J74" s="49"/>
      <c r="K74" s="52"/>
      <c r="L74" s="50"/>
      <c r="N74" s="50"/>
      <c r="O74" s="49"/>
      <c r="P74" s="51"/>
      <c r="U74" s="49"/>
      <c r="V74" s="49"/>
      <c r="W74" s="49"/>
      <c r="X74" s="49"/>
      <c r="Y74" s="49"/>
      <c r="Z74" s="49"/>
      <c r="AA74" s="49"/>
    </row>
    <row r="75" spans="4:27" x14ac:dyDescent="0.25">
      <c r="D75" s="49"/>
      <c r="E75" s="49"/>
      <c r="F75" s="49"/>
      <c r="G75" s="49"/>
      <c r="H75" s="49"/>
      <c r="I75" s="49"/>
      <c r="J75" s="49"/>
      <c r="K75" s="52"/>
      <c r="L75" s="50"/>
      <c r="N75" s="50"/>
      <c r="O75" s="49"/>
      <c r="P75" s="51"/>
      <c r="U75" s="49"/>
      <c r="V75" s="49"/>
      <c r="W75" s="49"/>
      <c r="X75" s="49"/>
      <c r="Y75" s="49"/>
      <c r="Z75" s="49"/>
      <c r="AA75" s="49"/>
    </row>
    <row r="76" spans="4:27" x14ac:dyDescent="0.25">
      <c r="D76" s="49"/>
      <c r="E76" s="49"/>
      <c r="F76" s="49"/>
      <c r="G76" s="49"/>
      <c r="H76" s="49"/>
      <c r="I76" s="49"/>
      <c r="J76" s="49"/>
      <c r="K76" s="52"/>
      <c r="L76" s="50"/>
      <c r="N76" s="50"/>
      <c r="O76" s="49"/>
      <c r="P76" s="51"/>
      <c r="U76" s="49"/>
      <c r="V76" s="49"/>
      <c r="W76" s="49"/>
      <c r="X76" s="49"/>
      <c r="Y76" s="49"/>
      <c r="Z76" s="49"/>
      <c r="AA76" s="49"/>
    </row>
    <row r="77" spans="4:27" x14ac:dyDescent="0.25">
      <c r="D77" s="49"/>
      <c r="E77" s="49"/>
      <c r="F77" s="49"/>
      <c r="G77" s="49"/>
      <c r="H77" s="49"/>
      <c r="I77" s="49"/>
      <c r="J77" s="49"/>
      <c r="K77" s="52"/>
      <c r="L77" s="50"/>
      <c r="N77" s="50"/>
      <c r="O77" s="49"/>
      <c r="P77" s="51"/>
      <c r="U77" s="49"/>
      <c r="V77" s="49"/>
      <c r="W77" s="49"/>
      <c r="X77" s="49"/>
      <c r="Y77" s="49"/>
      <c r="Z77" s="49"/>
      <c r="AA77" s="49"/>
    </row>
    <row r="78" spans="4:27" x14ac:dyDescent="0.25">
      <c r="D78" s="49"/>
      <c r="E78" s="49"/>
      <c r="F78" s="49"/>
      <c r="G78" s="49"/>
      <c r="H78" s="49"/>
      <c r="I78" s="49"/>
      <c r="J78" s="49"/>
      <c r="K78" s="52"/>
      <c r="L78" s="50"/>
      <c r="N78" s="50"/>
      <c r="O78" s="49"/>
      <c r="P78" s="51"/>
      <c r="U78" s="49"/>
      <c r="V78" s="49"/>
      <c r="W78" s="49"/>
      <c r="X78" s="49"/>
      <c r="Y78" s="49"/>
      <c r="Z78" s="49"/>
      <c r="AA78" s="49"/>
    </row>
    <row r="79" spans="4:27" x14ac:dyDescent="0.25">
      <c r="D79" s="49"/>
      <c r="E79" s="49"/>
      <c r="F79" s="49"/>
      <c r="G79" s="49"/>
      <c r="H79" s="49"/>
      <c r="I79" s="49"/>
      <c r="J79" s="49"/>
      <c r="K79" s="52"/>
      <c r="L79" s="50"/>
      <c r="N79" s="50"/>
      <c r="O79" s="49"/>
      <c r="P79" s="51"/>
      <c r="U79" s="49"/>
      <c r="V79" s="49"/>
      <c r="W79" s="49"/>
      <c r="X79" s="49"/>
      <c r="Y79" s="49"/>
      <c r="Z79" s="49"/>
      <c r="AA79" s="49"/>
    </row>
    <row r="80" spans="4:27" x14ac:dyDescent="0.25">
      <c r="D80" s="49"/>
      <c r="E80" s="49"/>
      <c r="F80" s="49"/>
      <c r="G80" s="49"/>
      <c r="H80" s="49"/>
      <c r="I80" s="49"/>
      <c r="J80" s="49"/>
      <c r="K80" s="52"/>
      <c r="L80" s="50"/>
      <c r="N80" s="50"/>
      <c r="O80" s="49"/>
      <c r="P80" s="51"/>
      <c r="U80" s="49"/>
      <c r="V80" s="49"/>
      <c r="W80" s="49"/>
      <c r="X80" s="49"/>
      <c r="Y80" s="49"/>
      <c r="Z80" s="49"/>
      <c r="AA80" s="49"/>
    </row>
    <row r="81" spans="4:27" x14ac:dyDescent="0.25">
      <c r="D81" s="49"/>
      <c r="E81" s="49"/>
      <c r="F81" s="49"/>
      <c r="G81" s="49"/>
      <c r="H81" s="49"/>
      <c r="I81" s="49"/>
      <c r="J81" s="49"/>
      <c r="K81" s="52"/>
      <c r="L81" s="50"/>
      <c r="N81" s="50"/>
      <c r="O81" s="49"/>
      <c r="P81" s="51"/>
      <c r="U81" s="49"/>
      <c r="V81" s="49"/>
      <c r="W81" s="49"/>
      <c r="X81" s="49"/>
      <c r="Y81" s="49"/>
      <c r="Z81" s="49"/>
      <c r="AA81" s="49"/>
    </row>
    <row r="82" spans="4:27" x14ac:dyDescent="0.25">
      <c r="D82" s="49"/>
      <c r="E82" s="49"/>
      <c r="F82" s="49"/>
      <c r="G82" s="49"/>
      <c r="H82" s="49"/>
      <c r="I82" s="49"/>
      <c r="J82" s="49"/>
      <c r="K82" s="52"/>
      <c r="L82" s="50"/>
      <c r="N82" s="50"/>
      <c r="O82" s="49"/>
      <c r="P82" s="51"/>
      <c r="U82" s="49"/>
      <c r="V82" s="49"/>
      <c r="W82" s="49"/>
      <c r="X82" s="49"/>
      <c r="Y82" s="49"/>
      <c r="Z82" s="49"/>
      <c r="AA82" s="49"/>
    </row>
    <row r="83" spans="4:27" x14ac:dyDescent="0.25">
      <c r="D83" s="49"/>
      <c r="E83" s="49"/>
      <c r="F83" s="49"/>
      <c r="G83" s="49"/>
      <c r="H83" s="49"/>
      <c r="I83" s="49"/>
      <c r="J83" s="49"/>
      <c r="K83" s="52"/>
      <c r="L83" s="50"/>
      <c r="N83" s="50"/>
      <c r="O83" s="49"/>
      <c r="P83" s="51"/>
      <c r="U83" s="49"/>
      <c r="V83" s="49"/>
      <c r="W83" s="49"/>
      <c r="X83" s="49"/>
      <c r="Y83" s="49"/>
      <c r="Z83" s="49"/>
      <c r="AA83" s="49"/>
    </row>
    <row r="84" spans="4:27" x14ac:dyDescent="0.25">
      <c r="D84" s="49"/>
      <c r="E84" s="49"/>
      <c r="F84" s="49"/>
      <c r="G84" s="49"/>
      <c r="H84" s="49"/>
      <c r="I84" s="49"/>
      <c r="J84" s="49"/>
      <c r="K84" s="52"/>
      <c r="L84" s="50"/>
      <c r="N84" s="50"/>
      <c r="O84" s="49"/>
      <c r="P84" s="51"/>
      <c r="U84" s="49"/>
      <c r="V84" s="49"/>
      <c r="W84" s="49"/>
      <c r="X84" s="49"/>
      <c r="Y84" s="49"/>
      <c r="Z84" s="49"/>
      <c r="AA84" s="49"/>
    </row>
    <row r="85" spans="4:27" x14ac:dyDescent="0.25">
      <c r="D85" s="49"/>
      <c r="E85" s="49"/>
      <c r="F85" s="49"/>
      <c r="G85" s="49"/>
      <c r="H85" s="49"/>
      <c r="I85" s="49"/>
      <c r="J85" s="49"/>
      <c r="K85" s="52"/>
      <c r="L85" s="50"/>
      <c r="N85" s="50"/>
      <c r="O85" s="49"/>
      <c r="P85" s="51"/>
      <c r="U85" s="49"/>
      <c r="V85" s="49"/>
      <c r="W85" s="49"/>
      <c r="X85" s="49"/>
      <c r="Y85" s="49"/>
      <c r="Z85" s="49"/>
      <c r="AA85" s="49"/>
    </row>
    <row r="86" spans="4:27" x14ac:dyDescent="0.25">
      <c r="D86" s="49"/>
      <c r="E86" s="49"/>
      <c r="F86" s="49"/>
      <c r="G86" s="49"/>
      <c r="H86" s="49"/>
      <c r="I86" s="49"/>
      <c r="J86" s="49"/>
      <c r="K86" s="52"/>
      <c r="L86" s="50"/>
      <c r="N86" s="50"/>
      <c r="O86" s="49"/>
      <c r="P86" s="51"/>
      <c r="U86" s="49"/>
      <c r="V86" s="49"/>
      <c r="W86" s="49"/>
      <c r="X86" s="49"/>
      <c r="Y86" s="49"/>
      <c r="Z86" s="49"/>
      <c r="AA86" s="49"/>
    </row>
    <row r="87" spans="4:27" x14ac:dyDescent="0.25">
      <c r="D87" s="49"/>
      <c r="E87" s="49"/>
      <c r="F87" s="49"/>
      <c r="G87" s="49"/>
      <c r="H87" s="49"/>
      <c r="I87" s="49"/>
      <c r="J87" s="49"/>
      <c r="K87" s="52"/>
      <c r="L87" s="50"/>
      <c r="N87" s="50"/>
      <c r="O87" s="49"/>
      <c r="P87" s="51"/>
      <c r="U87" s="49"/>
      <c r="V87" s="49"/>
      <c r="W87" s="49"/>
      <c r="X87" s="49"/>
      <c r="Y87" s="49"/>
      <c r="Z87" s="49"/>
      <c r="AA87" s="49"/>
    </row>
    <row r="88" spans="4:27" x14ac:dyDescent="0.25">
      <c r="D88" s="49"/>
      <c r="E88" s="49"/>
      <c r="F88" s="49"/>
      <c r="G88" s="49"/>
      <c r="H88" s="49"/>
      <c r="I88" s="49"/>
      <c r="J88" s="49"/>
      <c r="K88" s="52"/>
      <c r="L88" s="50"/>
      <c r="N88" s="50"/>
      <c r="O88" s="49"/>
      <c r="P88" s="51"/>
      <c r="U88" s="49"/>
      <c r="V88" s="49"/>
      <c r="W88" s="49"/>
      <c r="X88" s="49"/>
      <c r="Y88" s="49"/>
      <c r="Z88" s="49"/>
      <c r="AA88" s="49"/>
    </row>
    <row r="89" spans="4:27" x14ac:dyDescent="0.25">
      <c r="D89" s="49"/>
      <c r="E89" s="49"/>
      <c r="F89" s="49"/>
      <c r="G89" s="49"/>
      <c r="H89" s="49"/>
      <c r="I89" s="49"/>
      <c r="J89" s="49"/>
      <c r="K89" s="52"/>
      <c r="L89" s="50"/>
      <c r="N89" s="50"/>
      <c r="O89" s="49"/>
      <c r="P89" s="51"/>
      <c r="U89" s="49"/>
      <c r="V89" s="49"/>
      <c r="W89" s="49"/>
      <c r="X89" s="49"/>
      <c r="Y89" s="49"/>
      <c r="Z89" s="49"/>
      <c r="AA89" s="49"/>
    </row>
    <row r="90" spans="4:27" x14ac:dyDescent="0.25">
      <c r="D90" s="49"/>
      <c r="E90" s="49"/>
      <c r="F90" s="49"/>
      <c r="G90" s="49"/>
      <c r="H90" s="49"/>
      <c r="I90" s="49"/>
      <c r="J90" s="49"/>
      <c r="K90" s="52"/>
      <c r="L90" s="50"/>
      <c r="N90" s="50"/>
      <c r="O90" s="49"/>
      <c r="P90" s="51"/>
      <c r="U90" s="49"/>
      <c r="V90" s="49"/>
      <c r="W90" s="49"/>
      <c r="X90" s="49"/>
      <c r="Y90" s="49"/>
      <c r="Z90" s="49"/>
      <c r="AA90" s="49"/>
    </row>
    <row r="91" spans="4:27" x14ac:dyDescent="0.25">
      <c r="D91" s="49"/>
      <c r="E91" s="49"/>
      <c r="F91" s="49"/>
      <c r="G91" s="49"/>
      <c r="H91" s="49"/>
      <c r="I91" s="49"/>
      <c r="J91" s="49"/>
      <c r="K91" s="52"/>
      <c r="L91" s="50"/>
      <c r="N91" s="50"/>
      <c r="O91" s="49"/>
      <c r="P91" s="51"/>
      <c r="U91" s="49"/>
      <c r="V91" s="49"/>
      <c r="W91" s="49"/>
      <c r="X91" s="49"/>
      <c r="Y91" s="49"/>
      <c r="Z91" s="49"/>
      <c r="AA91" s="49"/>
    </row>
    <row r="92" spans="4:27" x14ac:dyDescent="0.25">
      <c r="D92" s="49"/>
      <c r="E92" s="49"/>
      <c r="F92" s="49"/>
      <c r="G92" s="49"/>
      <c r="H92" s="49"/>
      <c r="I92" s="49"/>
      <c r="J92" s="49"/>
      <c r="K92" s="52"/>
      <c r="L92" s="50"/>
      <c r="N92" s="50"/>
      <c r="O92" s="49"/>
      <c r="P92" s="51"/>
      <c r="U92" s="49"/>
      <c r="V92" s="49"/>
      <c r="W92" s="49"/>
      <c r="X92" s="49"/>
      <c r="Y92" s="49"/>
      <c r="Z92" s="49"/>
      <c r="AA92" s="49"/>
    </row>
    <row r="93" spans="4:27" x14ac:dyDescent="0.25">
      <c r="D93" s="49"/>
      <c r="E93" s="49"/>
      <c r="F93" s="49"/>
      <c r="G93" s="49"/>
      <c r="H93" s="49"/>
      <c r="I93" s="49"/>
      <c r="J93" s="49"/>
      <c r="K93" s="52"/>
      <c r="L93" s="50"/>
      <c r="N93" s="50"/>
      <c r="O93" s="49"/>
      <c r="P93" s="51"/>
      <c r="U93" s="49"/>
      <c r="V93" s="49"/>
      <c r="W93" s="49"/>
      <c r="X93" s="49"/>
      <c r="Y93" s="49"/>
      <c r="Z93" s="49"/>
      <c r="AA93" s="49"/>
    </row>
    <row r="94" spans="4:27" x14ac:dyDescent="0.25">
      <c r="D94" s="49"/>
      <c r="E94" s="49"/>
      <c r="F94" s="49"/>
      <c r="G94" s="49"/>
      <c r="H94" s="49"/>
      <c r="I94" s="49"/>
      <c r="J94" s="49"/>
      <c r="K94" s="52"/>
      <c r="L94" s="50"/>
      <c r="N94" s="50"/>
      <c r="O94" s="49"/>
      <c r="P94" s="51"/>
      <c r="U94" s="49"/>
      <c r="V94" s="49"/>
      <c r="W94" s="49"/>
      <c r="X94" s="49"/>
      <c r="Y94" s="49"/>
      <c r="Z94" s="49"/>
      <c r="AA94" s="49"/>
    </row>
    <row r="95" spans="4:27" x14ac:dyDescent="0.25">
      <c r="D95" s="49"/>
      <c r="E95" s="49"/>
      <c r="F95" s="49"/>
      <c r="G95" s="49"/>
      <c r="H95" s="49"/>
      <c r="I95" s="49"/>
      <c r="J95" s="49"/>
      <c r="K95" s="52"/>
      <c r="L95" s="50"/>
      <c r="N95" s="50"/>
      <c r="O95" s="49"/>
      <c r="P95" s="51"/>
      <c r="U95" s="49"/>
      <c r="V95" s="49"/>
      <c r="W95" s="49"/>
      <c r="X95" s="49"/>
      <c r="Y95" s="49"/>
      <c r="Z95" s="49"/>
      <c r="AA95" s="49"/>
    </row>
    <row r="96" spans="4:27" x14ac:dyDescent="0.25">
      <c r="D96" s="49"/>
      <c r="E96" s="49"/>
      <c r="F96" s="49"/>
      <c r="G96" s="49"/>
      <c r="H96" s="49"/>
      <c r="I96" s="49"/>
      <c r="J96" s="49"/>
      <c r="K96" s="52"/>
      <c r="L96" s="50"/>
      <c r="N96" s="50"/>
      <c r="O96" s="49"/>
      <c r="P96" s="51"/>
      <c r="U96" s="49"/>
      <c r="V96" s="49"/>
      <c r="W96" s="49"/>
      <c r="X96" s="49"/>
      <c r="Y96" s="49"/>
      <c r="Z96" s="49"/>
      <c r="AA96" s="49"/>
    </row>
    <row r="97" spans="4:27" x14ac:dyDescent="0.25">
      <c r="D97" s="49"/>
      <c r="E97" s="49"/>
      <c r="F97" s="49"/>
      <c r="G97" s="49"/>
      <c r="H97" s="49"/>
      <c r="I97" s="49"/>
      <c r="J97" s="49"/>
      <c r="K97" s="52"/>
      <c r="L97" s="50"/>
      <c r="N97" s="50"/>
      <c r="O97" s="49"/>
      <c r="P97" s="51"/>
      <c r="U97" s="49"/>
      <c r="V97" s="49"/>
      <c r="W97" s="49"/>
      <c r="X97" s="49"/>
      <c r="Y97" s="49"/>
      <c r="Z97" s="49"/>
      <c r="AA97" s="49"/>
    </row>
    <row r="98" spans="4:27" x14ac:dyDescent="0.25">
      <c r="D98" s="49"/>
      <c r="E98" s="49"/>
      <c r="F98" s="49"/>
      <c r="G98" s="49"/>
      <c r="H98" s="49"/>
      <c r="I98" s="49"/>
      <c r="J98" s="49"/>
      <c r="K98" s="52"/>
      <c r="L98" s="50"/>
      <c r="N98" s="50"/>
      <c r="O98" s="49"/>
      <c r="P98" s="51"/>
      <c r="U98" s="49"/>
      <c r="V98" s="49"/>
      <c r="W98" s="49"/>
      <c r="X98" s="49"/>
      <c r="Y98" s="49"/>
      <c r="Z98" s="49"/>
      <c r="AA98" s="49"/>
    </row>
    <row r="99" spans="4:27" x14ac:dyDescent="0.25">
      <c r="D99" s="49"/>
      <c r="E99" s="49"/>
      <c r="F99" s="49"/>
      <c r="G99" s="49"/>
      <c r="H99" s="49"/>
      <c r="I99" s="49"/>
      <c r="J99" s="49"/>
      <c r="K99" s="52"/>
      <c r="L99" s="50"/>
      <c r="N99" s="50"/>
      <c r="O99" s="49"/>
      <c r="P99" s="51"/>
      <c r="U99" s="49"/>
      <c r="V99" s="49"/>
      <c r="W99" s="49"/>
      <c r="X99" s="49"/>
      <c r="Y99" s="49"/>
      <c r="Z99" s="49"/>
      <c r="AA99" s="49"/>
    </row>
    <row r="100" spans="4:27" x14ac:dyDescent="0.25">
      <c r="D100" s="49"/>
      <c r="E100" s="49"/>
      <c r="F100" s="49"/>
      <c r="G100" s="49"/>
      <c r="H100" s="49"/>
      <c r="I100" s="49"/>
      <c r="J100" s="49"/>
      <c r="K100" s="52"/>
      <c r="L100" s="50"/>
      <c r="N100" s="50"/>
      <c r="O100" s="49"/>
      <c r="P100" s="51"/>
      <c r="U100" s="49"/>
      <c r="V100" s="49"/>
      <c r="W100" s="49"/>
      <c r="X100" s="49"/>
      <c r="Y100" s="49"/>
      <c r="Z100" s="49"/>
      <c r="AA100" s="49"/>
    </row>
    <row r="101" spans="4:27" x14ac:dyDescent="0.25">
      <c r="D101" s="49"/>
      <c r="E101" s="49"/>
      <c r="F101" s="49"/>
      <c r="G101" s="49"/>
      <c r="H101" s="49"/>
      <c r="I101" s="49"/>
      <c r="J101" s="49"/>
      <c r="K101" s="52"/>
      <c r="L101" s="50"/>
      <c r="N101" s="50"/>
      <c r="O101" s="49"/>
      <c r="P101" s="51"/>
      <c r="U101" s="49"/>
      <c r="V101" s="49"/>
      <c r="W101" s="49"/>
      <c r="X101" s="49"/>
      <c r="Y101" s="49"/>
      <c r="Z101" s="49"/>
      <c r="AA101" s="49"/>
    </row>
    <row r="102" spans="4:27" x14ac:dyDescent="0.25">
      <c r="D102" s="49"/>
      <c r="E102" s="49"/>
      <c r="F102" s="49"/>
      <c r="G102" s="49"/>
      <c r="H102" s="49"/>
      <c r="I102" s="49"/>
      <c r="J102" s="49"/>
      <c r="K102" s="52"/>
      <c r="L102" s="50"/>
      <c r="N102" s="50"/>
      <c r="O102" s="49"/>
      <c r="P102" s="51"/>
      <c r="U102" s="49"/>
      <c r="V102" s="49"/>
      <c r="W102" s="49"/>
      <c r="X102" s="49"/>
      <c r="Y102" s="49"/>
      <c r="Z102" s="49"/>
      <c r="AA102" s="49"/>
    </row>
    <row r="103" spans="4:27" x14ac:dyDescent="0.25">
      <c r="D103" s="49"/>
      <c r="E103" s="49"/>
      <c r="F103" s="49"/>
      <c r="G103" s="49"/>
      <c r="H103" s="49"/>
      <c r="I103" s="49"/>
      <c r="J103" s="49"/>
      <c r="K103" s="52"/>
      <c r="L103" s="50"/>
      <c r="N103" s="50"/>
      <c r="O103" s="49"/>
      <c r="P103" s="51"/>
      <c r="U103" s="49"/>
      <c r="V103" s="49"/>
      <c r="W103" s="49"/>
      <c r="X103" s="49"/>
      <c r="Y103" s="49"/>
      <c r="Z103" s="49"/>
      <c r="AA103" s="49"/>
    </row>
    <row r="104" spans="4:27" x14ac:dyDescent="0.25">
      <c r="D104" s="49"/>
      <c r="E104" s="49"/>
      <c r="F104" s="49"/>
      <c r="G104" s="49"/>
      <c r="H104" s="49"/>
      <c r="I104" s="49"/>
      <c r="J104" s="49"/>
      <c r="K104" s="52"/>
      <c r="L104" s="50"/>
      <c r="N104" s="50"/>
      <c r="O104" s="49"/>
      <c r="P104" s="51"/>
      <c r="U104" s="49"/>
      <c r="V104" s="49"/>
      <c r="W104" s="49"/>
      <c r="X104" s="49"/>
      <c r="Y104" s="49"/>
      <c r="Z104" s="49"/>
      <c r="AA104" s="49"/>
    </row>
    <row r="105" spans="4:27" x14ac:dyDescent="0.25">
      <c r="D105" s="49"/>
      <c r="E105" s="49"/>
      <c r="F105" s="49"/>
      <c r="G105" s="49"/>
      <c r="H105" s="49"/>
      <c r="I105" s="49"/>
      <c r="J105" s="49"/>
      <c r="K105" s="52"/>
      <c r="L105" s="50"/>
      <c r="N105" s="50"/>
      <c r="O105" s="49"/>
      <c r="P105" s="51"/>
      <c r="U105" s="49"/>
      <c r="V105" s="49"/>
      <c r="W105" s="49"/>
      <c r="X105" s="49"/>
      <c r="Y105" s="49"/>
      <c r="Z105" s="49"/>
      <c r="AA105" s="49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D61"/>
  <sheetViews>
    <sheetView zoomScaleNormal="100" workbookViewId="0">
      <selection activeCell="C25" sqref="C25"/>
    </sheetView>
  </sheetViews>
  <sheetFormatPr defaultColWidth="8.85546875" defaultRowHeight="12.75" x14ac:dyDescent="0.2"/>
  <cols>
    <col min="1" max="1" width="18.7109375" customWidth="1"/>
    <col min="2" max="2" width="22" customWidth="1"/>
    <col min="3" max="3" width="10.5703125" customWidth="1"/>
    <col min="4" max="4" width="29.5703125" customWidth="1"/>
    <col min="5" max="5" width="4.7109375" customWidth="1"/>
    <col min="6" max="6" width="9.140625" customWidth="1"/>
    <col min="7" max="7" width="12" customWidth="1"/>
    <col min="8" max="8" width="11.42578125" style="78" customWidth="1"/>
    <col min="9" max="9" width="23.7109375" customWidth="1"/>
    <col min="10" max="10" width="6.8554687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30" ht="17.25" x14ac:dyDescent="0.3">
      <c r="A1" s="85" t="s">
        <v>153</v>
      </c>
      <c r="B1" s="85"/>
    </row>
    <row r="2" spans="1:30" ht="15.75" thickBot="1" x14ac:dyDescent="0.3">
      <c r="A2" s="86"/>
      <c r="B2" s="80"/>
      <c r="C2" s="108" t="s">
        <v>127</v>
      </c>
      <c r="E2" s="80"/>
      <c r="F2" s="80"/>
      <c r="G2" s="81"/>
      <c r="H2" s="108" t="s">
        <v>129</v>
      </c>
      <c r="J2" s="80"/>
      <c r="K2" s="80"/>
      <c r="L2" s="81"/>
    </row>
    <row r="3" spans="1:30" x14ac:dyDescent="0.2">
      <c r="A3" s="87" t="s">
        <v>134</v>
      </c>
      <c r="B3" s="88" t="s">
        <v>123</v>
      </c>
      <c r="C3" s="87" t="s">
        <v>135</v>
      </c>
      <c r="D3" s="88" t="s">
        <v>128</v>
      </c>
      <c r="E3" s="88" t="s">
        <v>130</v>
      </c>
      <c r="F3" s="88" t="s">
        <v>131</v>
      </c>
      <c r="G3" s="89" t="s">
        <v>151</v>
      </c>
      <c r="H3" s="87" t="s">
        <v>135</v>
      </c>
      <c r="I3" s="88" t="s">
        <v>128</v>
      </c>
      <c r="J3" s="88" t="s">
        <v>130</v>
      </c>
      <c r="K3" s="88" t="s">
        <v>131</v>
      </c>
      <c r="L3" s="89" t="s">
        <v>151</v>
      </c>
      <c r="M3" t="s">
        <v>133</v>
      </c>
    </row>
    <row r="4" spans="1:30" x14ac:dyDescent="0.2">
      <c r="A4" s="86" t="str">
        <f>RES!O2</f>
        <v>IALM</v>
      </c>
      <c r="B4" s="80" t="str">
        <f>RES!O3</f>
        <v>Industry - Aluminium Metal</v>
      </c>
      <c r="C4" s="86" t="str">
        <f>RES!M9</f>
        <v>IALPOT</v>
      </c>
      <c r="D4" s="80" t="str">
        <f>RES!M5</f>
        <v>Aluminium smelters - potlines</v>
      </c>
      <c r="E4" s="91" t="s">
        <v>125</v>
      </c>
      <c r="F4" s="112">
        <f>'Aluminium Data'!D5</f>
        <v>0.72</v>
      </c>
      <c r="G4" s="114" t="s">
        <v>152</v>
      </c>
      <c r="H4" s="86">
        <f>RES!T9</f>
        <v>0</v>
      </c>
      <c r="I4" s="80">
        <f>RES!T8</f>
        <v>0</v>
      </c>
      <c r="J4" s="91" t="s">
        <v>125</v>
      </c>
      <c r="K4" s="90">
        <f>F4</f>
        <v>0.72</v>
      </c>
      <c r="L4" s="81"/>
      <c r="Z4" t="s">
        <v>155</v>
      </c>
      <c r="AA4" s="74" t="s">
        <v>156</v>
      </c>
      <c r="AB4">
        <v>18.600000000000001</v>
      </c>
    </row>
    <row r="5" spans="1:30" x14ac:dyDescent="0.2">
      <c r="A5" s="78"/>
      <c r="C5" s="78"/>
      <c r="E5" s="74" t="s">
        <v>115</v>
      </c>
      <c r="F5" s="79"/>
      <c r="G5" s="111"/>
      <c r="J5" s="74" t="s">
        <v>115</v>
      </c>
      <c r="K5" s="79">
        <f>Q19</f>
        <v>0</v>
      </c>
      <c r="AA5" s="74" t="s">
        <v>158</v>
      </c>
      <c r="AB5">
        <f>AB4/3.6*1000</f>
        <v>5166.666666666667</v>
      </c>
    </row>
    <row r="6" spans="1:30" ht="15" x14ac:dyDescent="0.25">
      <c r="A6" s="119" t="str">
        <f>RES!D2</f>
        <v>INDGAS</v>
      </c>
      <c r="B6" s="93" t="str">
        <f>RES!D3</f>
        <v>Industry - South Africa gas</v>
      </c>
      <c r="C6" s="92"/>
      <c r="D6" s="93"/>
      <c r="E6" s="94"/>
      <c r="F6" s="113"/>
      <c r="G6" s="95"/>
      <c r="H6" s="92" t="str">
        <f>C4</f>
        <v>IALPOT</v>
      </c>
      <c r="I6" s="92" t="str">
        <f>D4</f>
        <v>Aluminium smelters - potlines</v>
      </c>
      <c r="J6" s="94" t="s">
        <v>206</v>
      </c>
      <c r="K6" s="120">
        <f>'Aluminium Data'!D12</f>
        <v>2.2000000000000002</v>
      </c>
      <c r="L6" s="95"/>
      <c r="M6" s="74"/>
      <c r="Z6" s="74" t="s">
        <v>157</v>
      </c>
      <c r="AA6" s="74" t="s">
        <v>156</v>
      </c>
      <c r="AB6">
        <v>120</v>
      </c>
    </row>
    <row r="7" spans="1:30" ht="15" x14ac:dyDescent="0.25">
      <c r="A7" s="119" t="str">
        <f>RES!E2</f>
        <v>INDOLP</v>
      </c>
      <c r="B7" s="93" t="str">
        <f>RES!E3</f>
        <v>Industry - Oil LPG</v>
      </c>
      <c r="C7" s="86"/>
      <c r="D7" s="80"/>
      <c r="E7" s="91"/>
      <c r="F7" s="116"/>
      <c r="G7" s="81"/>
      <c r="H7" s="86" t="str">
        <f>RES!M9</f>
        <v>IALPOT</v>
      </c>
      <c r="I7" s="80" t="str">
        <f>RES!M5</f>
        <v>Aluminium smelters - potlines</v>
      </c>
      <c r="J7" s="94" t="s">
        <v>206</v>
      </c>
      <c r="K7" s="120">
        <f>'Aluminium Data'!D13</f>
        <v>3.26</v>
      </c>
      <c r="L7" s="98"/>
      <c r="AB7" s="74" t="s">
        <v>170</v>
      </c>
    </row>
    <row r="8" spans="1:30" ht="15" x14ac:dyDescent="0.25">
      <c r="A8" s="119" t="str">
        <f>RES!F2</f>
        <v>INFELC</v>
      </c>
      <c r="B8" s="93" t="str">
        <f>RES!F3</f>
        <v>Industry-NF-Electricity</v>
      </c>
      <c r="C8" s="82"/>
      <c r="D8" s="83"/>
      <c r="E8" s="83"/>
      <c r="F8" s="83"/>
      <c r="G8" s="84"/>
      <c r="H8" s="82" t="str">
        <f>H6</f>
        <v>IALPOT</v>
      </c>
      <c r="I8" s="83" t="str">
        <f>I6</f>
        <v>Aluminium smelters - potlines</v>
      </c>
      <c r="J8" s="94" t="s">
        <v>206</v>
      </c>
      <c r="K8" s="120">
        <f>'Aluminium Data'!D11</f>
        <v>46.37</v>
      </c>
      <c r="L8" s="84"/>
      <c r="M8" s="74"/>
      <c r="AB8" t="s">
        <v>161</v>
      </c>
      <c r="AC8" t="s">
        <v>162</v>
      </c>
      <c r="AD8">
        <f>X8/1000</f>
        <v>0</v>
      </c>
    </row>
    <row r="9" spans="1:30" x14ac:dyDescent="0.2">
      <c r="A9" t="s">
        <v>159</v>
      </c>
      <c r="B9" t="e">
        <f>#REF!</f>
        <v>#REF!</v>
      </c>
      <c r="C9" s="80" t="str">
        <f>C4</f>
        <v>IALPOT</v>
      </c>
      <c r="D9" s="80" t="str">
        <f>D4</f>
        <v>Aluminium smelters - potlines</v>
      </c>
      <c r="E9" s="80" t="s">
        <v>132</v>
      </c>
      <c r="F9" s="125">
        <f>'Aluminium Data'!E17</f>
        <v>1640.7688481217385</v>
      </c>
      <c r="G9" s="81"/>
      <c r="H9" s="86"/>
      <c r="I9" s="80"/>
      <c r="K9" s="80"/>
      <c r="L9" s="80"/>
      <c r="M9" s="74"/>
      <c r="AC9" t="s">
        <v>164</v>
      </c>
      <c r="AD9" t="e">
        <f>#REF!/AB4</f>
        <v>#REF!</v>
      </c>
    </row>
    <row r="10" spans="1:30" x14ac:dyDescent="0.2">
      <c r="A10" s="74" t="s">
        <v>209</v>
      </c>
      <c r="B10" t="e">
        <f>#REF!</f>
        <v>#REF!</v>
      </c>
      <c r="C10" t="str">
        <f>C9</f>
        <v>IALPOT</v>
      </c>
      <c r="D10" t="str">
        <f>D9</f>
        <v>Aluminium smelters - potlines</v>
      </c>
      <c r="E10" t="s">
        <v>132</v>
      </c>
      <c r="F10">
        <f>'Aluminium Data'!E18</f>
        <v>0.41016760505000449</v>
      </c>
      <c r="M10" s="74"/>
      <c r="AC10" s="74" t="s">
        <v>171</v>
      </c>
      <c r="AD10" t="e">
        <f>1/AD9</f>
        <v>#REF!</v>
      </c>
    </row>
    <row r="11" spans="1:30" x14ac:dyDescent="0.2">
      <c r="A11" s="74" t="s">
        <v>210</v>
      </c>
      <c r="B11" t="e">
        <f>#REF!</f>
        <v>#REF!</v>
      </c>
      <c r="C11" t="str">
        <f>C10</f>
        <v>IALPOT</v>
      </c>
      <c r="D11" t="str">
        <f>D10</f>
        <v>Aluminium smelters - potlines</v>
      </c>
      <c r="E11" t="s">
        <v>132</v>
      </c>
      <c r="F11">
        <f>'Aluminium Data'!E19</f>
        <v>4.1062898593307487E-2</v>
      </c>
      <c r="AC11" s="74" t="s">
        <v>173</v>
      </c>
      <c r="AD11">
        <f>X5/3600</f>
        <v>0</v>
      </c>
    </row>
    <row r="12" spans="1:30" x14ac:dyDescent="0.2">
      <c r="A12" s="74"/>
      <c r="M12" s="74"/>
      <c r="AC12" s="74" t="s">
        <v>172</v>
      </c>
      <c r="AD12">
        <f>AD11/AB4</f>
        <v>0</v>
      </c>
    </row>
    <row r="15" spans="1:30" x14ac:dyDescent="0.2">
      <c r="AB15" s="74" t="s">
        <v>169</v>
      </c>
    </row>
    <row r="16" spans="1:30" x14ac:dyDescent="0.2">
      <c r="M16" s="74"/>
      <c r="AB16" t="s">
        <v>161</v>
      </c>
      <c r="AC16" t="s">
        <v>162</v>
      </c>
      <c r="AD16">
        <f>W8/1000</f>
        <v>0</v>
      </c>
    </row>
    <row r="17" spans="13:30" x14ac:dyDescent="0.2">
      <c r="AC17" t="s">
        <v>163</v>
      </c>
      <c r="AD17">
        <f>AD16*AB6</f>
        <v>0</v>
      </c>
    </row>
    <row r="18" spans="13:30" x14ac:dyDescent="0.2">
      <c r="M18" s="74"/>
      <c r="AC18" t="s">
        <v>164</v>
      </c>
      <c r="AD18">
        <f>AD17/AB4</f>
        <v>0</v>
      </c>
    </row>
    <row r="19" spans="13:30" x14ac:dyDescent="0.2">
      <c r="AC19" s="74" t="s">
        <v>171</v>
      </c>
      <c r="AD19" t="e">
        <f>1/AD18</f>
        <v>#DIV/0!</v>
      </c>
    </row>
    <row r="20" spans="13:30" x14ac:dyDescent="0.2">
      <c r="M20" s="74"/>
    </row>
    <row r="21" spans="13:30" ht="15" customHeight="1" x14ac:dyDescent="0.2">
      <c r="M21" s="74"/>
    </row>
    <row r="22" spans="13:30" x14ac:dyDescent="0.2">
      <c r="M22" s="74"/>
    </row>
    <row r="23" spans="13:30" x14ac:dyDescent="0.2">
      <c r="M23" s="74"/>
    </row>
    <row r="24" spans="13:30" x14ac:dyDescent="0.2">
      <c r="M24" s="74"/>
    </row>
    <row r="25" spans="13:30" x14ac:dyDescent="0.2">
      <c r="M25" s="74"/>
    </row>
    <row r="26" spans="13:30" x14ac:dyDescent="0.2">
      <c r="M26" s="74"/>
    </row>
    <row r="27" spans="13:30" x14ac:dyDescent="0.2">
      <c r="M27" s="74"/>
    </row>
    <row r="28" spans="13:30" x14ac:dyDescent="0.2">
      <c r="M28" s="74"/>
    </row>
    <row r="29" spans="13:30" x14ac:dyDescent="0.2">
      <c r="M29" s="74"/>
    </row>
    <row r="30" spans="13:30" x14ac:dyDescent="0.2">
      <c r="M30" s="74"/>
    </row>
    <row r="31" spans="13:30" ht="31.5" customHeight="1" x14ac:dyDescent="0.2">
      <c r="M31" s="74"/>
    </row>
    <row r="32" spans="13:30" x14ac:dyDescent="0.2">
      <c r="M32" s="74"/>
    </row>
    <row r="33" spans="13:13" x14ac:dyDescent="0.2">
      <c r="M33" s="74"/>
    </row>
    <row r="34" spans="13:13" x14ac:dyDescent="0.2">
      <c r="M34" s="74"/>
    </row>
    <row r="35" spans="13:13" x14ac:dyDescent="0.2">
      <c r="M35" s="74"/>
    </row>
    <row r="36" spans="13:13" x14ac:dyDescent="0.2">
      <c r="M36" s="74"/>
    </row>
    <row r="37" spans="13:13" x14ac:dyDescent="0.2">
      <c r="M37" s="74"/>
    </row>
    <row r="38" spans="13:13" x14ac:dyDescent="0.2">
      <c r="M38" s="74"/>
    </row>
    <row r="39" spans="13:13" x14ac:dyDescent="0.2">
      <c r="M39" s="74"/>
    </row>
    <row r="40" spans="13:13" x14ac:dyDescent="0.2">
      <c r="M40" s="74"/>
    </row>
    <row r="41" spans="13:13" x14ac:dyDescent="0.2">
      <c r="M41" s="74"/>
    </row>
    <row r="42" spans="13:13" x14ac:dyDescent="0.2">
      <c r="M42" s="74"/>
    </row>
    <row r="43" spans="13:13" x14ac:dyDescent="0.2">
      <c r="M43" s="74"/>
    </row>
    <row r="44" spans="13:13" x14ac:dyDescent="0.2">
      <c r="M44" s="74"/>
    </row>
    <row r="45" spans="13:13" x14ac:dyDescent="0.2">
      <c r="M45" s="74"/>
    </row>
    <row r="46" spans="13:13" x14ac:dyDescent="0.2">
      <c r="M46" s="74"/>
    </row>
    <row r="47" spans="13:13" x14ac:dyDescent="0.2">
      <c r="M47" s="74"/>
    </row>
    <row r="48" spans="13:13" x14ac:dyDescent="0.2">
      <c r="M48" s="74"/>
    </row>
    <row r="49" spans="6:13" x14ac:dyDescent="0.2">
      <c r="M49" s="74"/>
    </row>
    <row r="50" spans="6:13" x14ac:dyDescent="0.2">
      <c r="M50" s="74"/>
    </row>
    <row r="51" spans="6:13" x14ac:dyDescent="0.2">
      <c r="M51" s="74"/>
    </row>
    <row r="52" spans="6:13" x14ac:dyDescent="0.2">
      <c r="M52" s="74"/>
    </row>
    <row r="53" spans="6:13" x14ac:dyDescent="0.2">
      <c r="M53" s="74"/>
    </row>
    <row r="54" spans="6:13" x14ac:dyDescent="0.2">
      <c r="M54" s="74"/>
    </row>
    <row r="55" spans="6:13" x14ac:dyDescent="0.2">
      <c r="M55" s="74"/>
    </row>
    <row r="56" spans="6:13" x14ac:dyDescent="0.2">
      <c r="F56" s="124"/>
      <c r="I56" s="124"/>
      <c r="J56" s="124"/>
      <c r="K56" s="124"/>
    </row>
    <row r="57" spans="6:13" x14ac:dyDescent="0.2">
      <c r="F57" s="124"/>
      <c r="I57" s="124"/>
      <c r="J57" s="124"/>
      <c r="K57" s="124"/>
    </row>
    <row r="58" spans="6:13" x14ac:dyDescent="0.2">
      <c r="F58" s="124"/>
      <c r="I58" s="124"/>
      <c r="J58" s="124"/>
      <c r="K58" s="124"/>
    </row>
    <row r="59" spans="6:13" x14ac:dyDescent="0.2">
      <c r="F59" s="124"/>
      <c r="I59" s="124"/>
      <c r="J59" s="124"/>
      <c r="K59" s="124"/>
    </row>
    <row r="61" spans="6:13" x14ac:dyDescent="0.2">
      <c r="I61" s="124"/>
      <c r="J61" s="124"/>
      <c r="K61" s="12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1692-BBF7-49AA-9736-56F4A2E09C0E}">
  <dimension ref="A2:P37"/>
  <sheetViews>
    <sheetView workbookViewId="0">
      <selection activeCell="L3" sqref="L3"/>
    </sheetView>
  </sheetViews>
  <sheetFormatPr defaultRowHeight="12.75" x14ac:dyDescent="0.2"/>
  <cols>
    <col min="2" max="2" width="16.5703125" customWidth="1"/>
    <col min="15" max="15" width="17.28515625" customWidth="1"/>
  </cols>
  <sheetData>
    <row r="2" spans="1:16" x14ac:dyDescent="0.2">
      <c r="A2" s="1" t="s">
        <v>217</v>
      </c>
      <c r="D2">
        <f>D5</f>
        <v>0.72</v>
      </c>
      <c r="L2" s="132" t="s">
        <v>196</v>
      </c>
    </row>
    <row r="3" spans="1:16" x14ac:dyDescent="0.2">
      <c r="A3" s="1" t="s">
        <v>193</v>
      </c>
      <c r="L3" s="133" t="s">
        <v>198</v>
      </c>
    </row>
    <row r="4" spans="1:16" x14ac:dyDescent="0.2">
      <c r="L4" s="78"/>
    </row>
    <row r="5" spans="1:16" x14ac:dyDescent="0.2">
      <c r="B5" s="74" t="s">
        <v>190</v>
      </c>
      <c r="D5">
        <f>L5/1000</f>
        <v>0.72</v>
      </c>
      <c r="L5" s="78">
        <v>720</v>
      </c>
      <c r="M5" s="74" t="s">
        <v>218</v>
      </c>
    </row>
    <row r="6" spans="1:16" x14ac:dyDescent="0.2">
      <c r="L6" s="78"/>
    </row>
    <row r="7" spans="1:16" x14ac:dyDescent="0.2">
      <c r="B7" s="74" t="s">
        <v>194</v>
      </c>
      <c r="D7">
        <f>L8</f>
        <v>22875</v>
      </c>
      <c r="E7" s="74" t="s">
        <v>195</v>
      </c>
      <c r="L7" s="78">
        <v>1830</v>
      </c>
      <c r="M7" s="74" t="s">
        <v>191</v>
      </c>
    </row>
    <row r="8" spans="1:16" x14ac:dyDescent="0.2">
      <c r="L8" s="78">
        <f>L7*O8</f>
        <v>22875</v>
      </c>
      <c r="M8" s="74" t="s">
        <v>192</v>
      </c>
      <c r="O8">
        <v>12.5</v>
      </c>
      <c r="P8" s="74" t="s">
        <v>197</v>
      </c>
    </row>
    <row r="9" spans="1:16" x14ac:dyDescent="0.2">
      <c r="B9" s="74" t="s">
        <v>200</v>
      </c>
      <c r="L9" s="78"/>
    </row>
    <row r="10" spans="1:16" x14ac:dyDescent="0.2">
      <c r="L10" s="78"/>
    </row>
    <row r="11" spans="1:16" x14ac:dyDescent="0.2">
      <c r="B11" s="74" t="s">
        <v>201</v>
      </c>
      <c r="D11">
        <f>O20</f>
        <v>46.37</v>
      </c>
      <c r="E11" s="74" t="s">
        <v>204</v>
      </c>
      <c r="L11" s="78"/>
    </row>
    <row r="12" spans="1:16" x14ac:dyDescent="0.2">
      <c r="B12" s="74" t="s">
        <v>202</v>
      </c>
      <c r="D12">
        <f>O18</f>
        <v>2.2000000000000002</v>
      </c>
      <c r="E12" s="74" t="s">
        <v>204</v>
      </c>
      <c r="L12" s="78"/>
    </row>
    <row r="13" spans="1:16" x14ac:dyDescent="0.2">
      <c r="B13" s="74" t="s">
        <v>203</v>
      </c>
      <c r="D13">
        <f>O19</f>
        <v>3.26</v>
      </c>
      <c r="E13" s="74" t="s">
        <v>204</v>
      </c>
      <c r="L13" s="78"/>
    </row>
    <row r="14" spans="1:16" x14ac:dyDescent="0.2">
      <c r="L14" s="78"/>
    </row>
    <row r="15" spans="1:16" ht="28.5" x14ac:dyDescent="0.2">
      <c r="B15" s="74" t="s">
        <v>213</v>
      </c>
      <c r="L15" s="78"/>
      <c r="O15" s="134" t="s">
        <v>205</v>
      </c>
    </row>
    <row r="16" spans="1:16" ht="14.25" x14ac:dyDescent="0.2">
      <c r="E16" s="136" t="s">
        <v>211</v>
      </c>
      <c r="L16" s="78"/>
      <c r="O16" s="134" t="s">
        <v>206</v>
      </c>
    </row>
    <row r="17" spans="1:15" ht="15" x14ac:dyDescent="0.2">
      <c r="B17" s="136" t="s">
        <v>212</v>
      </c>
      <c r="E17">
        <f>[2]Emissions!$F$35</f>
        <v>1640.7688481217385</v>
      </c>
      <c r="L17" s="78"/>
      <c r="N17" s="135" t="s">
        <v>208</v>
      </c>
      <c r="O17" s="135">
        <v>51.83</v>
      </c>
    </row>
    <row r="18" spans="1:15" ht="14.25" x14ac:dyDescent="0.2">
      <c r="B18" s="136" t="s">
        <v>209</v>
      </c>
      <c r="E18" s="137">
        <f>[2]Emissions!$F$41</f>
        <v>0.41016760505000449</v>
      </c>
      <c r="L18" s="78"/>
      <c r="N18" s="134" t="s">
        <v>202</v>
      </c>
      <c r="O18" s="134">
        <v>2.2000000000000002</v>
      </c>
    </row>
    <row r="19" spans="1:15" ht="14.25" x14ac:dyDescent="0.2">
      <c r="B19" s="136" t="s">
        <v>210</v>
      </c>
      <c r="E19" s="137">
        <f>[2]Emissions!$F$42</f>
        <v>4.1062898593307487E-2</v>
      </c>
      <c r="L19" s="78"/>
      <c r="N19" s="134" t="s">
        <v>203</v>
      </c>
      <c r="O19" s="134">
        <v>3.26</v>
      </c>
    </row>
    <row r="20" spans="1:15" ht="14.25" x14ac:dyDescent="0.2">
      <c r="L20" s="78"/>
      <c r="N20" s="134" t="s">
        <v>201</v>
      </c>
      <c r="O20" s="134">
        <v>46.37</v>
      </c>
    </row>
    <row r="21" spans="1:15" x14ac:dyDescent="0.2">
      <c r="L21" s="78"/>
    </row>
    <row r="22" spans="1:15" x14ac:dyDescent="0.2">
      <c r="L22" s="78"/>
    </row>
    <row r="23" spans="1:15" x14ac:dyDescent="0.2">
      <c r="L23" s="78"/>
    </row>
    <row r="24" spans="1:15" x14ac:dyDescent="0.2">
      <c r="L24" s="78"/>
    </row>
    <row r="25" spans="1:15" x14ac:dyDescent="0.2">
      <c r="L25" s="78"/>
    </row>
    <row r="26" spans="1:15" x14ac:dyDescent="0.2">
      <c r="A26" s="1" t="s">
        <v>199</v>
      </c>
      <c r="L26" s="78"/>
    </row>
    <row r="27" spans="1:15" x14ac:dyDescent="0.2">
      <c r="L27" s="78">
        <v>2350</v>
      </c>
    </row>
    <row r="28" spans="1:15" x14ac:dyDescent="0.2">
      <c r="L28" s="78">
        <f>L27*O8</f>
        <v>29375</v>
      </c>
      <c r="M28" s="74" t="s">
        <v>216</v>
      </c>
    </row>
    <row r="29" spans="1:15" ht="28.5" x14ac:dyDescent="0.2">
      <c r="L29" s="78"/>
      <c r="O29" s="134" t="s">
        <v>207</v>
      </c>
    </row>
    <row r="30" spans="1:15" ht="14.25" x14ac:dyDescent="0.2">
      <c r="L30" s="78"/>
      <c r="O30" s="134" t="s">
        <v>206</v>
      </c>
    </row>
    <row r="31" spans="1:15" ht="15" x14ac:dyDescent="0.2">
      <c r="L31" s="78"/>
      <c r="N31" s="135" t="s">
        <v>208</v>
      </c>
      <c r="O31" s="135">
        <v>62.03</v>
      </c>
    </row>
    <row r="32" spans="1:15" ht="14.25" x14ac:dyDescent="0.2">
      <c r="L32" s="78"/>
      <c r="N32" s="134" t="s">
        <v>202</v>
      </c>
      <c r="O32" s="134">
        <v>2.2000000000000002</v>
      </c>
    </row>
    <row r="33" spans="12:15" ht="14.25" x14ac:dyDescent="0.2">
      <c r="L33" s="78"/>
      <c r="N33" s="134" t="s">
        <v>203</v>
      </c>
      <c r="O33" s="134">
        <v>3.26</v>
      </c>
    </row>
    <row r="34" spans="12:15" ht="14.25" x14ac:dyDescent="0.2">
      <c r="L34" s="78"/>
      <c r="N34" s="134" t="s">
        <v>201</v>
      </c>
      <c r="O34" s="134">
        <v>56.57</v>
      </c>
    </row>
    <row r="35" spans="12:15" x14ac:dyDescent="0.2">
      <c r="L35" s="78"/>
    </row>
    <row r="36" spans="12:15" x14ac:dyDescent="0.2">
      <c r="L36" s="78"/>
    </row>
    <row r="37" spans="12:15" x14ac:dyDescent="0.2">
      <c r="L37" s="78"/>
    </row>
  </sheetData>
  <hyperlinks>
    <hyperlink ref="L3" r:id="rId1" xr:uid="{1965335E-3FBC-4362-AD24-200F20987CD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4" t="s">
        <v>17</v>
      </c>
      <c r="B8" s="14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12" t="s">
        <v>95</v>
      </c>
      <c r="B10" s="12" t="s">
        <v>95</v>
      </c>
      <c r="C10" s="14" t="s">
        <v>97</v>
      </c>
    </row>
    <row r="11" spans="1:4" x14ac:dyDescent="0.2">
      <c r="A11" s="12" t="s">
        <v>98</v>
      </c>
      <c r="B11" s="12" t="s">
        <v>98</v>
      </c>
      <c r="C11" s="14" t="s">
        <v>97</v>
      </c>
    </row>
    <row r="13" spans="1:4" x14ac:dyDescent="0.2">
      <c r="A13" s="11" t="s">
        <v>102</v>
      </c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6" x14ac:dyDescent="0.2">
      <c r="A1" s="20" t="s">
        <v>99</v>
      </c>
    </row>
    <row r="4" spans="1:6" ht="17.25" customHeight="1" x14ac:dyDescent="0.2"/>
    <row r="5" spans="1:6" ht="17.25" customHeight="1" x14ac:dyDescent="0.2">
      <c r="C5" s="19"/>
    </row>
    <row r="6" spans="1:6" ht="15.75" customHeight="1" x14ac:dyDescent="0.2"/>
    <row r="7" spans="1:6" x14ac:dyDescent="0.2">
      <c r="B7" s="24" t="s">
        <v>40</v>
      </c>
      <c r="C7" s="20" t="s">
        <v>41</v>
      </c>
      <c r="D7" s="20" t="s">
        <v>42</v>
      </c>
      <c r="E7" s="20" t="s">
        <v>1</v>
      </c>
      <c r="F7" s="20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B81D-7411-41E5-9809-E2C4DFDC4589}">
  <sheetPr codeName="Sheet19">
    <tabColor theme="4"/>
  </sheetPr>
  <dimension ref="A1:H19"/>
  <sheetViews>
    <sheetView zoomScaleNormal="100" workbookViewId="0">
      <pane ySplit="7" topLeftCell="A8" activePane="bottomLeft" state="frozen"/>
      <selection pane="bottomLeft" activeCell="D12" sqref="D12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8" x14ac:dyDescent="0.2">
      <c r="A1" s="200" t="str">
        <f ca="1">IF(INDEX(Index!$E$6:$E$37,MATCH(A2,Index!$D$6:$D$37,0))=1,LEFT(A2,SEARCH("_",A2)-1),"")</f>
        <v>Commodities</v>
      </c>
      <c r="B1" s="18" t="s">
        <v>122</v>
      </c>
    </row>
    <row r="2" spans="1:8" ht="12.75" x14ac:dyDescent="0.2">
      <c r="A2" s="201" t="str">
        <f ca="1">MID(CELL("filename",A1),FIND("]",CELL("filename",A1))+1,255)</f>
        <v>Commodities_BASE</v>
      </c>
    </row>
    <row r="4" spans="1:8" ht="17.25" customHeight="1" x14ac:dyDescent="0.2"/>
    <row r="5" spans="1:8" ht="17.25" customHeight="1" x14ac:dyDescent="0.2">
      <c r="C5" s="19"/>
    </row>
    <row r="6" spans="1:8" ht="15.75" customHeight="1" x14ac:dyDescent="0.2">
      <c r="B6" s="18" t="s">
        <v>359</v>
      </c>
    </row>
    <row r="7" spans="1:8" ht="28.9" customHeight="1" x14ac:dyDescent="0.2">
      <c r="B7" s="24" t="s">
        <v>40</v>
      </c>
      <c r="C7" s="20" t="s">
        <v>41</v>
      </c>
      <c r="D7" s="20" t="s">
        <v>42</v>
      </c>
      <c r="E7" s="20" t="s">
        <v>360</v>
      </c>
      <c r="F7" s="20" t="s">
        <v>361</v>
      </c>
      <c r="G7" s="18" t="s">
        <v>362</v>
      </c>
      <c r="H7" s="18" t="s">
        <v>363</v>
      </c>
    </row>
    <row r="8" spans="1:8" s="17" customFormat="1" ht="12.75" x14ac:dyDescent="0.2">
      <c r="A8" s="37"/>
      <c r="B8" s="37" t="str">
        <f>RES!D2</f>
        <v>INDGAS</v>
      </c>
      <c r="C8" s="37" t="str">
        <f>RES!D3</f>
        <v>Industry - South Africa gas</v>
      </c>
      <c r="D8" s="26" t="s">
        <v>115</v>
      </c>
      <c r="E8" s="26" t="s">
        <v>38</v>
      </c>
      <c r="F8" s="18" t="s">
        <v>118</v>
      </c>
    </row>
    <row r="9" spans="1:8" s="17" customFormat="1" ht="12.75" x14ac:dyDescent="0.2">
      <c r="A9" s="37"/>
      <c r="B9" s="37" t="str">
        <f>RES!E2</f>
        <v>INDOLP</v>
      </c>
      <c r="C9" s="37" t="str">
        <f>RES!E3</f>
        <v>Industry - Oil LPG</v>
      </c>
      <c r="D9" s="26" t="s">
        <v>115</v>
      </c>
      <c r="E9" s="26" t="s">
        <v>38</v>
      </c>
      <c r="F9" s="18" t="s">
        <v>118</v>
      </c>
    </row>
    <row r="10" spans="1:8" s="17" customFormat="1" ht="12.75" x14ac:dyDescent="0.2">
      <c r="A10" s="37"/>
      <c r="B10" s="37" t="str">
        <f>RES!F2</f>
        <v>INFELC</v>
      </c>
      <c r="C10" s="37" t="str">
        <f>RES!F3</f>
        <v>Industry-NF-Electricity</v>
      </c>
      <c r="D10" s="26" t="s">
        <v>115</v>
      </c>
      <c r="E10" s="26" t="s">
        <v>38</v>
      </c>
      <c r="F10" s="18" t="s">
        <v>364</v>
      </c>
      <c r="G10" s="18" t="s">
        <v>118</v>
      </c>
      <c r="H10" s="18" t="s">
        <v>365</v>
      </c>
    </row>
    <row r="11" spans="1:8" s="17" customFormat="1" ht="12.75" x14ac:dyDescent="0.2">
      <c r="A11" s="37"/>
      <c r="B11" s="37" t="s">
        <v>182</v>
      </c>
      <c r="C11" s="37" t="s">
        <v>183</v>
      </c>
      <c r="D11" s="26" t="s">
        <v>115</v>
      </c>
      <c r="E11" s="26" t="s">
        <v>30</v>
      </c>
      <c r="F11" s="18" t="s">
        <v>118</v>
      </c>
    </row>
    <row r="12" spans="1:8" x14ac:dyDescent="0.2">
      <c r="A12" s="37"/>
      <c r="B12" s="37" t="s">
        <v>159</v>
      </c>
      <c r="C12" s="37" t="s">
        <v>160</v>
      </c>
      <c r="D12" s="26" t="s">
        <v>116</v>
      </c>
      <c r="E12" s="26" t="s">
        <v>32</v>
      </c>
      <c r="F12" s="18" t="s">
        <v>118</v>
      </c>
    </row>
    <row r="13" spans="1:8" x14ac:dyDescent="0.2">
      <c r="A13" s="37"/>
      <c r="B13" s="37" t="s">
        <v>209</v>
      </c>
      <c r="C13" s="37" t="s">
        <v>214</v>
      </c>
      <c r="D13" s="26" t="s">
        <v>116</v>
      </c>
      <c r="E13" s="26" t="s">
        <v>32</v>
      </c>
      <c r="F13" s="18" t="s">
        <v>118</v>
      </c>
    </row>
    <row r="14" spans="1:8" x14ac:dyDescent="0.2">
      <c r="A14" s="37"/>
      <c r="B14" s="37" t="s">
        <v>210</v>
      </c>
      <c r="C14" s="37" t="s">
        <v>215</v>
      </c>
      <c r="D14" s="26" t="s">
        <v>116</v>
      </c>
      <c r="E14" s="26" t="s">
        <v>32</v>
      </c>
      <c r="F14" s="18" t="s">
        <v>118</v>
      </c>
    </row>
    <row r="17" spans="2:7" x14ac:dyDescent="0.2">
      <c r="G17" s="18" t="s">
        <v>366</v>
      </c>
    </row>
    <row r="19" spans="2:7" ht="12.75" x14ac:dyDescent="0.2">
      <c r="B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1504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215041" r:id="rId4" name="cmdSpecifySets"/>
      </mc:Fallback>
    </mc:AlternateContent>
    <mc:AlternateContent xmlns:mc="http://schemas.openxmlformats.org/markup-compatibility/2006">
      <mc:Choice Requires="x14">
        <control shapeId="21504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561975</xdr:colOff>
                <xdr:row>3</xdr:row>
                <xdr:rowOff>9525</xdr:rowOff>
              </to>
            </anchor>
          </controlPr>
        </control>
      </mc:Choice>
      <mc:Fallback>
        <control shapeId="215042" r:id="rId6" name="cmdCheckCommoditiesSheet"/>
      </mc:Fallback>
    </mc:AlternateContent>
    <mc:AlternateContent xmlns:mc="http://schemas.openxmlformats.org/markup-compatibility/2006">
      <mc:Choice Requires="x14">
        <control shapeId="21504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142875</xdr:rowOff>
              </to>
            </anchor>
          </controlPr>
        </control>
      </mc:Choice>
      <mc:Fallback>
        <control shapeId="215043" r:id="rId8" name="cmdCommUnit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32"/>
      <c r="C9" s="32"/>
      <c r="E9" s="32"/>
    </row>
    <row r="10" spans="1:6" x14ac:dyDescent="0.2">
      <c r="B10" s="13"/>
      <c r="C10" s="32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2.75" x14ac:dyDescent="0.2"/>
  <cols>
    <col min="1" max="1" width="12.28515625" style="17" customWidth="1"/>
    <col min="2" max="2" width="12.140625" style="17" customWidth="1"/>
    <col min="3" max="3" width="28.42578125" style="17" customWidth="1"/>
    <col min="4" max="4" width="10" style="17" customWidth="1"/>
    <col min="5" max="5" width="28.42578125" style="17" customWidth="1"/>
    <col min="6" max="6" width="10.28515625" style="17" customWidth="1"/>
    <col min="7" max="16384" width="9.140625" style="17"/>
  </cols>
  <sheetData>
    <row r="1" spans="1:6" s="18" customFormat="1" ht="11.25" x14ac:dyDescent="0.2">
      <c r="A1" s="20" t="s">
        <v>103</v>
      </c>
    </row>
    <row r="2" spans="1:6" s="18" customFormat="1" ht="11.25" x14ac:dyDescent="0.2"/>
    <row r="3" spans="1:6" s="18" customFormat="1" ht="11.25" x14ac:dyDescent="0.2"/>
    <row r="4" spans="1:6" s="18" customFormat="1" ht="18.75" customHeight="1" x14ac:dyDescent="0.2"/>
    <row r="5" spans="1:6" s="18" customFormat="1" ht="17.25" customHeight="1" x14ac:dyDescent="0.2">
      <c r="C5" s="19"/>
    </row>
    <row r="6" spans="1:6" s="18" customFormat="1" ht="15.75" customHeight="1" x14ac:dyDescent="0.2"/>
    <row r="7" spans="1:6" s="18" customFormat="1" ht="11.25" x14ac:dyDescent="0.2">
      <c r="B7" s="24" t="s">
        <v>46</v>
      </c>
      <c r="C7" s="20" t="s">
        <v>47</v>
      </c>
      <c r="D7" s="20" t="s">
        <v>43</v>
      </c>
      <c r="E7" s="20" t="s">
        <v>1</v>
      </c>
      <c r="F7" s="20" t="s">
        <v>0</v>
      </c>
    </row>
    <row r="8" spans="1:6" s="18" customFormat="1" ht="11.25" x14ac:dyDescent="0.2">
      <c r="B8" s="19"/>
      <c r="C8" s="19"/>
    </row>
    <row r="9" spans="1:6" s="18" customFormat="1" ht="11.25" x14ac:dyDescent="0.2">
      <c r="B9" s="19"/>
      <c r="C9" s="19"/>
      <c r="E9" s="19"/>
    </row>
    <row r="10" spans="1:6" s="18" customFormat="1" ht="11.25" x14ac:dyDescent="0.2">
      <c r="D10" s="19"/>
      <c r="E10" s="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1"/>
      <c r="C9" s="21"/>
      <c r="D9" s="21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H15"/>
  <sheetViews>
    <sheetView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F15" sqref="F15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8" x14ac:dyDescent="0.2">
      <c r="A1" s="11" t="str">
        <f ca="1">IF(INDEX(Index!$E$6:$E$37,MATCH(A2,Index!$D$6:$D$37,0))=1,LEFT(A2,SEARCH("_",A2)-1),"")</f>
        <v>CommData</v>
      </c>
      <c r="B1" s="18" t="str">
        <f>Commodities_BASE!B1</f>
        <v>REGION1</v>
      </c>
      <c r="F1" s="38"/>
    </row>
    <row r="2" spans="1:8" ht="12.75" x14ac:dyDescent="0.2">
      <c r="A2" t="str">
        <f ca="1">MID(CELL("filename",A2),FIND("]",CELL("filename",A2))+1,255)</f>
        <v>CommData_BASE</v>
      </c>
      <c r="F2" s="38"/>
    </row>
    <row r="3" spans="1:8" ht="15" customHeight="1" x14ac:dyDescent="0.2">
      <c r="F3" s="38"/>
    </row>
    <row r="4" spans="1:8" ht="20.25" customHeight="1" x14ac:dyDescent="0.2">
      <c r="E4" s="23" t="s">
        <v>126</v>
      </c>
      <c r="F4" s="23" t="s">
        <v>126</v>
      </c>
      <c r="G4" s="23" t="s">
        <v>126</v>
      </c>
      <c r="H4" s="23"/>
    </row>
    <row r="5" spans="1:8" ht="19.5" customHeight="1" x14ac:dyDescent="0.2">
      <c r="E5" s="46"/>
      <c r="F5" s="38"/>
    </row>
    <row r="6" spans="1:8" ht="19.5" customHeight="1" x14ac:dyDescent="0.2">
      <c r="E6" s="46"/>
      <c r="F6" s="38"/>
    </row>
    <row r="7" spans="1:8" x14ac:dyDescent="0.2">
      <c r="B7" s="11" t="s">
        <v>40</v>
      </c>
      <c r="C7" s="11" t="s">
        <v>41</v>
      </c>
      <c r="D7" s="11" t="s">
        <v>43</v>
      </c>
      <c r="E7" s="12">
        <v>2012</v>
      </c>
      <c r="F7" s="38">
        <v>2017</v>
      </c>
      <c r="G7" s="12">
        <v>2050</v>
      </c>
    </row>
    <row r="8" spans="1:8" s="38" customFormat="1" x14ac:dyDescent="0.2">
      <c r="B8" s="38" t="str">
        <f>RES!O2</f>
        <v>IALM</v>
      </c>
      <c r="C8" s="38" t="str">
        <f>RES!O3</f>
        <v>Industry - Aluminium Metal</v>
      </c>
      <c r="D8" s="38" t="str">
        <f>EB_Exist!J4</f>
        <v>mt</v>
      </c>
      <c r="E8" s="76">
        <f>'Aluminium Data'!D2</f>
        <v>0.72</v>
      </c>
      <c r="F8" s="76">
        <f>E8</f>
        <v>0.72</v>
      </c>
      <c r="G8" s="76">
        <f>F8</f>
        <v>0.72</v>
      </c>
      <c r="H8" s="76"/>
    </row>
    <row r="9" spans="1:8" s="38" customFormat="1" x14ac:dyDescent="0.2"/>
    <row r="10" spans="1:8" s="38" customFormat="1" x14ac:dyDescent="0.2"/>
    <row r="11" spans="1:8" s="38" customFormat="1" x14ac:dyDescent="0.2"/>
    <row r="12" spans="1:8" ht="15" x14ac:dyDescent="0.25">
      <c r="C12" s="207" t="s">
        <v>377</v>
      </c>
      <c r="D12" s="207"/>
      <c r="E12" s="207"/>
      <c r="F12" s="208"/>
    </row>
    <row r="13" spans="1:8" ht="15" x14ac:dyDescent="0.25">
      <c r="C13" s="207" t="s">
        <v>381</v>
      </c>
      <c r="D13" s="207" t="s">
        <v>40</v>
      </c>
      <c r="E13" s="207" t="s">
        <v>382</v>
      </c>
      <c r="F13" s="209">
        <v>2017</v>
      </c>
    </row>
    <row r="14" spans="1:8" ht="12.75" x14ac:dyDescent="0.2">
      <c r="C14" s="39" t="s">
        <v>92</v>
      </c>
      <c r="D14" s="39" t="s">
        <v>383</v>
      </c>
      <c r="E14" s="39" t="s">
        <v>384</v>
      </c>
      <c r="F14" s="208" t="s">
        <v>385</v>
      </c>
    </row>
    <row r="15" spans="1:8" ht="12.75" x14ac:dyDescent="0.2">
      <c r="C15" s="210" t="s">
        <v>386</v>
      </c>
      <c r="D15" s="39" t="str">
        <f>B8</f>
        <v>IALM</v>
      </c>
      <c r="E15" s="39" t="s">
        <v>115</v>
      </c>
      <c r="F15" s="211">
        <f>F8</f>
        <v>0.72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40"/>
  <sheetViews>
    <sheetView zoomScaleNormal="100" workbookViewId="0">
      <pane ySplit="7" topLeftCell="A8" activePane="bottomLeft" state="frozen"/>
      <selection pane="bottomLeft" activeCell="H9" sqref="H9:H12"/>
    </sheetView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8" ht="12.75" x14ac:dyDescent="0.2">
      <c r="A1" s="200" t="str">
        <f ca="1">IF(INDEX(Index!$E$6:$E$37,MATCH(A2,Index!$D$6:$D$37,0))=1,LEFT(A2,SEARCH("_",A2)-1),"")</f>
        <v>Processes</v>
      </c>
      <c r="B1" s="18" t="s">
        <v>122</v>
      </c>
      <c r="C1" s="38"/>
      <c r="D1"/>
      <c r="E1"/>
      <c r="F1" s="38"/>
      <c r="G1" s="38"/>
      <c r="H1" s="38"/>
    </row>
    <row r="2" spans="1:8" ht="12.75" x14ac:dyDescent="0.2">
      <c r="A2" s="201" t="str">
        <f ca="1">MID(CELL("filename",A1),FIND("]",CELL("filename",A1))+1,255)</f>
        <v>Processes_BASE</v>
      </c>
      <c r="B2" s="38"/>
      <c r="C2" s="38"/>
      <c r="D2"/>
      <c r="E2"/>
      <c r="F2" s="38"/>
      <c r="G2" s="38"/>
      <c r="H2" s="38"/>
    </row>
    <row r="3" spans="1:8" ht="12.75" x14ac:dyDescent="0.2">
      <c r="A3" s="38"/>
      <c r="B3" s="38"/>
      <c r="C3" s="38"/>
      <c r="D3"/>
      <c r="E3"/>
      <c r="F3" s="38"/>
      <c r="G3" s="38"/>
      <c r="H3" s="38"/>
    </row>
    <row r="4" spans="1:8" ht="18" customHeight="1" x14ac:dyDescent="0.2">
      <c r="A4" s="38"/>
      <c r="B4" s="38"/>
      <c r="C4" s="38"/>
      <c r="D4"/>
      <c r="E4"/>
      <c r="F4" s="38"/>
      <c r="G4" s="38"/>
      <c r="H4" s="38"/>
    </row>
    <row r="5" spans="1:8" ht="12.75" x14ac:dyDescent="0.2">
      <c r="A5" s="38"/>
      <c r="B5" s="38"/>
      <c r="C5" s="38"/>
      <c r="D5"/>
      <c r="E5"/>
      <c r="F5" s="38"/>
      <c r="G5" s="38"/>
      <c r="H5" s="38"/>
    </row>
    <row r="6" spans="1:8" ht="15" x14ac:dyDescent="0.25">
      <c r="A6" s="38"/>
      <c r="B6" s="202" t="s">
        <v>367</v>
      </c>
      <c r="C6" s="203"/>
      <c r="D6" s="203"/>
      <c r="E6" s="203"/>
      <c r="F6" s="203"/>
      <c r="G6" s="203"/>
      <c r="H6" s="203"/>
    </row>
    <row r="7" spans="1:8" ht="15" x14ac:dyDescent="0.25">
      <c r="A7" s="38"/>
      <c r="B7" s="204" t="s">
        <v>368</v>
      </c>
      <c r="C7" s="204" t="s">
        <v>369</v>
      </c>
      <c r="D7" s="204" t="s">
        <v>370</v>
      </c>
      <c r="E7" s="204" t="s">
        <v>371</v>
      </c>
      <c r="F7" s="204" t="s">
        <v>372</v>
      </c>
      <c r="G7" s="204" t="s">
        <v>373</v>
      </c>
      <c r="H7" s="204" t="s">
        <v>374</v>
      </c>
    </row>
    <row r="8" spans="1:8" s="38" customFormat="1" ht="12" x14ac:dyDescent="0.2">
      <c r="A8" s="41" t="s">
        <v>136</v>
      </c>
      <c r="D8" s="25"/>
      <c r="E8" s="25"/>
    </row>
    <row r="9" spans="1:8" s="38" customFormat="1" x14ac:dyDescent="0.2">
      <c r="A9" s="38" t="s">
        <v>92</v>
      </c>
      <c r="B9" s="38" t="s">
        <v>176</v>
      </c>
      <c r="C9" s="38" t="s">
        <v>174</v>
      </c>
      <c r="D9" s="25" t="s">
        <v>115</v>
      </c>
      <c r="E9" s="38" t="s">
        <v>375</v>
      </c>
      <c r="F9" s="38" t="s">
        <v>118</v>
      </c>
      <c r="G9" s="26" t="s">
        <v>376</v>
      </c>
    </row>
    <row r="10" spans="1:8" s="38" customFormat="1" ht="12.75" x14ac:dyDescent="0.2">
      <c r="B10" t="s">
        <v>178</v>
      </c>
      <c r="C10" t="s">
        <v>179</v>
      </c>
      <c r="D10" s="25" t="s">
        <v>115</v>
      </c>
      <c r="E10" s="38" t="s">
        <v>375</v>
      </c>
      <c r="F10" s="38" t="s">
        <v>118</v>
      </c>
      <c r="G10" s="26" t="s">
        <v>376</v>
      </c>
    </row>
    <row r="11" spans="1:8" s="38" customFormat="1" ht="12.75" x14ac:dyDescent="0.2">
      <c r="B11" t="s">
        <v>180</v>
      </c>
      <c r="C11" t="s">
        <v>181</v>
      </c>
      <c r="D11" s="25" t="s">
        <v>115</v>
      </c>
      <c r="E11" s="38" t="s">
        <v>375</v>
      </c>
      <c r="F11" s="38" t="s">
        <v>118</v>
      </c>
      <c r="G11" s="26" t="s">
        <v>376</v>
      </c>
    </row>
    <row r="12" spans="1:8" s="38" customFormat="1" ht="12" x14ac:dyDescent="0.2">
      <c r="A12" s="42"/>
      <c r="D12" s="25"/>
      <c r="E12" s="26"/>
    </row>
    <row r="13" spans="1:8" s="38" customFormat="1" ht="12" x14ac:dyDescent="0.2">
      <c r="A13" s="42"/>
      <c r="B13" s="42"/>
      <c r="C13" s="42"/>
      <c r="D13" s="42"/>
      <c r="E13" s="41"/>
    </row>
    <row r="14" spans="1:8" s="38" customFormat="1" ht="12" x14ac:dyDescent="0.2">
      <c r="A14" s="42"/>
      <c r="D14" s="25"/>
      <c r="E14" s="25"/>
    </row>
    <row r="15" spans="1:8" s="38" customFormat="1" ht="12" x14ac:dyDescent="0.2">
      <c r="A15" s="42"/>
      <c r="D15" s="25"/>
      <c r="E15" s="25"/>
    </row>
    <row r="16" spans="1:8" s="38" customFormat="1" ht="12" x14ac:dyDescent="0.2">
      <c r="A16" s="42"/>
      <c r="D16" s="25"/>
      <c r="E16" s="25"/>
    </row>
    <row r="17" spans="1:10" s="38" customFormat="1" ht="12" x14ac:dyDescent="0.2">
      <c r="A17" s="42"/>
      <c r="D17" s="25"/>
      <c r="E17" s="25"/>
    </row>
    <row r="18" spans="1:10" s="38" customFormat="1" ht="12" x14ac:dyDescent="0.2">
      <c r="A18" s="42"/>
      <c r="D18" s="25"/>
      <c r="E18" s="25"/>
    </row>
    <row r="19" spans="1:10" s="38" customFormat="1" ht="12" x14ac:dyDescent="0.2">
      <c r="A19" s="42"/>
      <c r="B19" s="42"/>
      <c r="C19" s="42"/>
      <c r="D19" s="12"/>
      <c r="E19" s="12"/>
    </row>
    <row r="20" spans="1:10" s="38" customFormat="1" ht="12" x14ac:dyDescent="0.2">
      <c r="A20" s="42"/>
      <c r="D20" s="25"/>
      <c r="E20" s="25"/>
    </row>
    <row r="21" spans="1:10" s="38" customFormat="1" ht="12" x14ac:dyDescent="0.2">
      <c r="A21" s="42"/>
      <c r="D21" s="25"/>
      <c r="E21" s="25"/>
    </row>
    <row r="22" spans="1:10" s="38" customFormat="1" ht="12" x14ac:dyDescent="0.2">
      <c r="A22" s="42"/>
      <c r="D22" s="25"/>
      <c r="E22" s="25"/>
    </row>
    <row r="23" spans="1:10" s="38" customFormat="1" ht="12" x14ac:dyDescent="0.2">
      <c r="A23" s="42"/>
      <c r="D23" s="25"/>
      <c r="E23" s="25"/>
    </row>
    <row r="24" spans="1:10" s="38" customFormat="1" ht="12.75" x14ac:dyDescent="0.2">
      <c r="A24" s="42"/>
      <c r="B24" s="17"/>
      <c r="C24" s="17"/>
      <c r="D24" s="17"/>
      <c r="E24" s="17"/>
      <c r="G24" s="39"/>
      <c r="H24" s="39"/>
      <c r="I24" s="18"/>
      <c r="J24" s="18"/>
    </row>
    <row r="25" spans="1:10" s="38" customFormat="1" x14ac:dyDescent="0.2">
      <c r="A25" s="43"/>
      <c r="B25" s="12"/>
      <c r="C25" s="12"/>
      <c r="D25" s="25"/>
      <c r="E25" s="25"/>
      <c r="F25" s="18"/>
      <c r="G25" s="37"/>
      <c r="H25" s="37"/>
      <c r="I25" s="25"/>
      <c r="J25" s="25"/>
    </row>
    <row r="26" spans="1:10" s="38" customFormat="1" x14ac:dyDescent="0.2">
      <c r="A26" s="43"/>
      <c r="B26" s="12"/>
      <c r="C26" s="12"/>
      <c r="D26" s="25"/>
      <c r="E26" s="25"/>
      <c r="F26" s="18"/>
      <c r="G26" s="37"/>
      <c r="H26" s="37"/>
      <c r="I26" s="25"/>
      <c r="J26" s="25"/>
    </row>
    <row r="27" spans="1:10" s="38" customFormat="1" x14ac:dyDescent="0.2">
      <c r="A27" s="43"/>
      <c r="B27" s="12"/>
      <c r="C27" s="12"/>
      <c r="D27" s="25"/>
      <c r="E27" s="25"/>
      <c r="F27" s="18"/>
      <c r="G27" s="37"/>
      <c r="H27" s="37"/>
      <c r="I27" s="25"/>
      <c r="J27" s="25"/>
    </row>
    <row r="28" spans="1:10" s="38" customFormat="1" x14ac:dyDescent="0.2">
      <c r="A28" s="43"/>
      <c r="B28" s="12"/>
      <c r="C28" s="12"/>
      <c r="D28" s="25"/>
      <c r="E28" s="25"/>
      <c r="F28" s="18"/>
      <c r="G28" s="37"/>
      <c r="H28" s="37"/>
      <c r="I28" s="25"/>
      <c r="J28" s="25"/>
    </row>
    <row r="29" spans="1:10" s="38" customFormat="1" x14ac:dyDescent="0.2">
      <c r="A29" s="18"/>
      <c r="B29" s="12"/>
      <c r="C29" s="12"/>
      <c r="D29" s="25"/>
      <c r="E29" s="25"/>
      <c r="F29" s="18"/>
      <c r="G29" s="37"/>
      <c r="H29" s="37"/>
      <c r="I29" s="25"/>
      <c r="J29" s="25"/>
    </row>
    <row r="30" spans="1:10" s="38" customFormat="1" ht="12" customHeight="1" x14ac:dyDescent="0.2">
      <c r="A30" s="43"/>
      <c r="B30" s="12"/>
      <c r="C30" s="12"/>
      <c r="D30" s="25"/>
      <c r="E30" s="25"/>
      <c r="G30" s="39"/>
      <c r="H30" s="39"/>
      <c r="I30" s="18"/>
      <c r="J30" s="18"/>
    </row>
    <row r="31" spans="1:10" s="38" customFormat="1" x14ac:dyDescent="0.2">
      <c r="A31" s="43"/>
      <c r="B31" s="12"/>
      <c r="C31" s="12"/>
      <c r="D31" s="25"/>
      <c r="E31" s="25"/>
    </row>
    <row r="32" spans="1:10" s="38" customFormat="1" x14ac:dyDescent="0.2">
      <c r="A32" s="43"/>
      <c r="B32" s="12"/>
      <c r="C32" s="12"/>
      <c r="D32" s="25"/>
      <c r="E32" s="25"/>
      <c r="F32" s="37"/>
      <c r="G32" s="37"/>
      <c r="H32" s="37"/>
      <c r="I32" s="25"/>
      <c r="J32" s="25"/>
    </row>
    <row r="33" spans="1:10" s="38" customFormat="1" x14ac:dyDescent="0.2">
      <c r="A33" s="43"/>
      <c r="B33" s="12"/>
      <c r="C33" s="12"/>
      <c r="D33" s="25"/>
      <c r="E33" s="25"/>
      <c r="F33" s="37"/>
      <c r="G33" s="37"/>
      <c r="H33" s="37"/>
      <c r="I33" s="25"/>
      <c r="J33" s="25"/>
    </row>
    <row r="34" spans="1:10" s="38" customFormat="1" x14ac:dyDescent="0.2">
      <c r="A34" s="43"/>
      <c r="B34" s="12"/>
      <c r="C34" s="12"/>
      <c r="D34" s="25"/>
      <c r="E34" s="25"/>
      <c r="F34" s="37"/>
      <c r="G34" s="37"/>
      <c r="H34" s="37"/>
      <c r="I34" s="25"/>
      <c r="J34" s="25"/>
    </row>
    <row r="35" spans="1:10" s="38" customFormat="1" ht="11.45" customHeight="1" x14ac:dyDescent="0.2">
      <c r="A35" s="43"/>
      <c r="B35" s="12"/>
      <c r="C35" s="12"/>
      <c r="D35" s="25"/>
      <c r="E35" s="25"/>
      <c r="F35" s="18"/>
      <c r="G35" s="17"/>
      <c r="H35" s="17"/>
      <c r="I35" s="17"/>
      <c r="J35" s="17"/>
    </row>
    <row r="36" spans="1:10" s="38" customFormat="1" x14ac:dyDescent="0.2">
      <c r="A36" s="43"/>
      <c r="B36" s="12"/>
      <c r="C36" s="12"/>
      <c r="D36" s="25"/>
      <c r="E36" s="25"/>
    </row>
    <row r="37" spans="1:10" s="38" customFormat="1" x14ac:dyDescent="0.2">
      <c r="A37" s="43"/>
      <c r="B37" s="12"/>
      <c r="C37" s="12"/>
      <c r="D37" s="25"/>
      <c r="E37" s="25"/>
      <c r="F37" s="18"/>
      <c r="G37" s="37"/>
      <c r="H37" s="37"/>
      <c r="I37" s="25"/>
      <c r="J37" s="25"/>
    </row>
    <row r="38" spans="1:10" s="38" customFormat="1" x14ac:dyDescent="0.2">
      <c r="A38" s="43"/>
      <c r="B38" s="12"/>
      <c r="C38" s="12"/>
      <c r="D38" s="25"/>
      <c r="E38" s="25"/>
      <c r="F38" s="37"/>
      <c r="G38" s="37"/>
      <c r="H38" s="37"/>
      <c r="I38" s="25"/>
      <c r="J38" s="25"/>
    </row>
    <row r="39" spans="1:10" x14ac:dyDescent="0.2">
      <c r="A39" s="43"/>
      <c r="D39" s="25"/>
      <c r="E39" s="25"/>
    </row>
    <row r="40" spans="1:10" x14ac:dyDescent="0.2">
      <c r="A40" s="43"/>
      <c r="D40" s="25"/>
      <c r="E40" s="25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>
      <pane xSplit="7" ySplit="7" topLeftCell="H8" activePane="bottomRight" state="frozen"/>
      <selection pane="topRight" activeCell="J1" sqref="J1"/>
      <selection pane="bottomLeft" activeCell="A8" sqref="A8"/>
      <selection pane="bottomRight"/>
    </sheetView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35" customWidth="1"/>
    <col min="8" max="16384" width="9.140625" style="12"/>
  </cols>
  <sheetData>
    <row r="1" spans="1:7" ht="11.25" customHeight="1" x14ac:dyDescent="0.2">
      <c r="A1" s="11" t="s">
        <v>110</v>
      </c>
    </row>
    <row r="3" spans="1:7" ht="21.75" customHeight="1" x14ac:dyDescent="0.2"/>
    <row r="4" spans="1:7" ht="17.25" customHeight="1" x14ac:dyDescent="0.2">
      <c r="E4" s="36" t="s">
        <v>92</v>
      </c>
      <c r="F4" s="36"/>
      <c r="G4" s="36"/>
    </row>
    <row r="5" spans="1:7" ht="16.5" customHeight="1" x14ac:dyDescent="0.2"/>
    <row r="6" spans="1:7" ht="17.25" customHeight="1" x14ac:dyDescent="0.2"/>
    <row r="7" spans="1:7" ht="21.75" customHeight="1" x14ac:dyDescent="0.2"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V17"/>
  <sheetViews>
    <sheetView tabSelected="1" zoomScale="115" zoomScaleNormal="115" workbookViewId="0">
      <pane xSplit="6" ySplit="7" topLeftCell="N8" activePane="bottomRight" state="frozen"/>
      <selection pane="topRight" activeCell="J1" sqref="J1"/>
      <selection pane="bottomLeft" activeCell="A8" sqref="A8"/>
      <selection pane="bottomRight" activeCell="V8" sqref="V8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8.28515625" style="12" customWidth="1"/>
    <col min="7" max="16" width="9.140625" style="12"/>
    <col min="17" max="17" width="7.85546875" style="12" customWidth="1"/>
    <col min="18" max="18" width="7.5703125" style="12" customWidth="1"/>
    <col min="19" max="19" width="7.85546875" style="12" customWidth="1"/>
    <col min="20" max="16384" width="9.140625" style="12"/>
  </cols>
  <sheetData>
    <row r="1" spans="1:22" ht="11.25" customHeight="1" x14ac:dyDescent="0.2">
      <c r="A1" s="200" t="str">
        <f ca="1">IF(INDEX(Index!$E$6:$E$37,MATCH(A2,Index!$D$6:$D$37,0))=1,LEFT(A2,SEARCH("_",A2)-1),"")</f>
        <v>ProcData</v>
      </c>
      <c r="B1" s="18" t="s">
        <v>122</v>
      </c>
      <c r="C1" s="38"/>
      <c r="D1" s="38"/>
      <c r="E1" s="38"/>
      <c r="F1" s="38"/>
    </row>
    <row r="2" spans="1:22" ht="11.25" customHeight="1" x14ac:dyDescent="0.2">
      <c r="A2" s="201" t="str">
        <f ca="1">MID(CELL("filename",A1),FIND("]",CELL("filename",A1))+1,255)</f>
        <v>ProcData_ALM</v>
      </c>
      <c r="B2" s="38"/>
      <c r="C2" s="38"/>
      <c r="D2" s="38"/>
      <c r="E2" s="38"/>
      <c r="F2" s="38"/>
      <c r="G2" s="38"/>
      <c r="H2" s="38"/>
    </row>
    <row r="3" spans="1:22" ht="34.5" customHeight="1" x14ac:dyDescent="0.2">
      <c r="A3" s="38"/>
      <c r="B3" s="38"/>
      <c r="C3" s="38"/>
      <c r="D3" s="38"/>
      <c r="E3" s="38"/>
      <c r="F3" s="38"/>
      <c r="G3" s="99" t="s">
        <v>138</v>
      </c>
      <c r="H3" s="99" t="s">
        <v>138</v>
      </c>
      <c r="I3" s="99" t="s">
        <v>143</v>
      </c>
      <c r="J3" s="99" t="s">
        <v>165</v>
      </c>
      <c r="K3" s="99"/>
      <c r="L3" s="99" t="s">
        <v>167</v>
      </c>
      <c r="M3" s="99" t="s">
        <v>167</v>
      </c>
      <c r="N3" s="99" t="s">
        <v>167</v>
      </c>
      <c r="O3" s="99" t="s">
        <v>141</v>
      </c>
      <c r="P3" s="12" t="s">
        <v>139</v>
      </c>
      <c r="Q3" s="12" t="s">
        <v>140</v>
      </c>
    </row>
    <row r="4" spans="1:22" ht="21.75" customHeight="1" x14ac:dyDescent="0.2">
      <c r="A4" s="38"/>
      <c r="B4" s="38"/>
      <c r="C4" s="38"/>
      <c r="D4" s="205"/>
      <c r="E4" s="205"/>
      <c r="F4" s="205"/>
      <c r="G4" s="45" t="s">
        <v>142</v>
      </c>
      <c r="H4" s="45" t="s">
        <v>142</v>
      </c>
      <c r="I4" s="45" t="s">
        <v>144</v>
      </c>
      <c r="J4" s="45" t="s">
        <v>166</v>
      </c>
      <c r="K4" s="45" t="s">
        <v>219</v>
      </c>
      <c r="L4" s="45" t="s">
        <v>168</v>
      </c>
      <c r="M4" s="45" t="s">
        <v>168</v>
      </c>
      <c r="N4" s="45" t="s">
        <v>168</v>
      </c>
      <c r="O4" s="45" t="s">
        <v>117</v>
      </c>
      <c r="P4" s="23" t="s">
        <v>124</v>
      </c>
      <c r="Q4" s="97" t="s">
        <v>137</v>
      </c>
      <c r="R4" s="97" t="s">
        <v>137</v>
      </c>
      <c r="S4" s="97" t="s">
        <v>137</v>
      </c>
      <c r="T4" s="12" t="s">
        <v>177</v>
      </c>
    </row>
    <row r="5" spans="1:22" ht="16.5" customHeight="1" x14ac:dyDescent="0.2">
      <c r="A5" s="38"/>
      <c r="B5" s="38"/>
      <c r="C5" s="38"/>
      <c r="D5" s="38"/>
      <c r="E5" s="38"/>
      <c r="F5" s="38"/>
      <c r="G5" s="45">
        <v>2017</v>
      </c>
      <c r="H5" s="45">
        <v>2028</v>
      </c>
      <c r="L5" s="12" t="str">
        <f>EB_Exist!A9</f>
        <v>CO2SP</v>
      </c>
      <c r="M5" s="12" t="str">
        <f>EB_Exist!A10</f>
        <v>CF4</v>
      </c>
      <c r="N5" s="12" t="str">
        <f>EB_Exist!A11</f>
        <v>CF6</v>
      </c>
      <c r="O5" s="40"/>
      <c r="P5" s="23" t="str">
        <f>E12</f>
        <v>IALM</v>
      </c>
      <c r="Q5" s="12" t="str">
        <f>D9</f>
        <v>INDGAS</v>
      </c>
      <c r="R5" s="12" t="str">
        <f>D10</f>
        <v>INDOLP</v>
      </c>
      <c r="S5" s="12" t="str">
        <f>D11</f>
        <v>INFELC</v>
      </c>
    </row>
    <row r="6" spans="1:22" ht="17.25" customHeight="1" x14ac:dyDescent="0.2">
      <c r="A6" s="38"/>
      <c r="B6" s="38"/>
      <c r="C6" s="38"/>
      <c r="D6" s="38"/>
      <c r="E6" s="38" t="s">
        <v>377</v>
      </c>
      <c r="F6" s="38"/>
      <c r="G6" s="45"/>
      <c r="H6" s="45"/>
      <c r="L6" s="12" t="s">
        <v>118</v>
      </c>
      <c r="M6" s="12" t="s">
        <v>118</v>
      </c>
      <c r="N6" s="12" t="s">
        <v>118</v>
      </c>
      <c r="O6" s="40"/>
    </row>
    <row r="7" spans="1:22" ht="21.75" customHeight="1" x14ac:dyDescent="0.2">
      <c r="A7" s="38"/>
      <c r="B7" s="200" t="s">
        <v>368</v>
      </c>
      <c r="C7" s="200" t="s">
        <v>378</v>
      </c>
      <c r="D7" s="200" t="s">
        <v>379</v>
      </c>
      <c r="E7" s="200" t="s">
        <v>380</v>
      </c>
      <c r="F7" s="206" t="s">
        <v>387</v>
      </c>
      <c r="G7" s="99" t="str">
        <f t="shared" ref="G7:H7" si="0">IFERROR(REPLACE(G4,SEARCH("-",G4),1,"~"),G4)&amp;"~"&amp;G5</f>
        <v>PRC_RESID~2017</v>
      </c>
      <c r="H7" s="99" t="str">
        <f t="shared" si="0"/>
        <v>PRC_RESID~2028</v>
      </c>
      <c r="I7" s="99" t="str">
        <f t="shared" ref="I7:K7" si="1">IFERROR(REPLACE(I4,SEARCH("-",I4),1,"~"),I4)</f>
        <v>NCAP_FOM</v>
      </c>
      <c r="J7" s="99" t="str">
        <f t="shared" si="1"/>
        <v>NCAP_COST</v>
      </c>
      <c r="K7" s="99" t="str">
        <f t="shared" si="1"/>
        <v>NCAP_TLIFE</v>
      </c>
      <c r="L7" s="99" t="str">
        <f>"ENV_ACT~"&amp;L5</f>
        <v>ENV_ACT~CO2SP</v>
      </c>
      <c r="M7" s="99" t="str">
        <f t="shared" ref="M7:N7" si="2">"ENV_ACT~"&amp;M5</f>
        <v>ENV_ACT~CF4</v>
      </c>
      <c r="N7" s="99" t="str">
        <f t="shared" si="2"/>
        <v>ENV_ACT~CF6</v>
      </c>
      <c r="O7" s="99" t="str">
        <f t="shared" ref="O7" si="3">IFERROR(REPLACE(O4,SEARCH("-",O4),1,"~"),O4)</f>
        <v>PRC_CAPACT</v>
      </c>
      <c r="P7" s="99" t="str">
        <f>IFERROR(REPLACE(P4,SEARCH("-",P4),1,"~"),P4)</f>
        <v>PRC_ACTUNT</v>
      </c>
      <c r="Q7" s="99" t="str">
        <f>IFERROR(REPLACE(Q4,SEARCH("-",Q4),1,"~"),Q4)&amp;"~"&amp;2017</f>
        <v>PRC_ACTFLO~2017</v>
      </c>
      <c r="R7" s="99" t="str">
        <f t="shared" ref="R7:S7" si="4">IFERROR(REPLACE(R4,SEARCH("-",R4),1,"~"),R4)&amp;"~"&amp;2017</f>
        <v>PRC_ACTFLO~2017</v>
      </c>
      <c r="S7" s="99" t="str">
        <f t="shared" si="4"/>
        <v>PRC_ACTFLO~2017</v>
      </c>
      <c r="T7" s="99" t="str">
        <f>IFERROR(REPLACE(T4,SEARCH("-",T4),1,"~"),T4)</f>
        <v>NCAP_START</v>
      </c>
      <c r="U7" s="12" t="s">
        <v>388</v>
      </c>
      <c r="V7" s="12" t="s">
        <v>389</v>
      </c>
    </row>
    <row r="8" spans="1:22" ht="11.25" customHeight="1" x14ac:dyDescent="0.2">
      <c r="A8" s="41" t="str">
        <f>Processes_BASE!A8</f>
        <v>* Conversion technologies</v>
      </c>
      <c r="B8" s="38"/>
      <c r="E8" s="106"/>
      <c r="F8" s="105"/>
      <c r="G8" s="100"/>
      <c r="H8" s="100"/>
    </row>
    <row r="9" spans="1:22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106" t="str">
        <f>RES!D2</f>
        <v>INDGAS</v>
      </c>
      <c r="E9" s="106"/>
      <c r="I9" s="96"/>
      <c r="J9" s="96"/>
      <c r="K9" s="96"/>
      <c r="Q9" s="101">
        <f>EB_Exist!K6</f>
        <v>2.2000000000000002</v>
      </c>
      <c r="R9" s="12"/>
    </row>
    <row r="10" spans="1:22" s="35" customFormat="1" ht="11.25" customHeight="1" x14ac:dyDescent="0.2">
      <c r="A10" s="12"/>
      <c r="D10" s="106" t="str">
        <f>RES!E2</f>
        <v>INDOLP</v>
      </c>
      <c r="E10" s="106"/>
      <c r="G10" s="100"/>
      <c r="H10" s="100"/>
      <c r="I10" s="12"/>
      <c r="J10" s="12"/>
      <c r="K10" s="12"/>
      <c r="L10" s="12"/>
      <c r="M10" s="12"/>
      <c r="N10" s="12"/>
      <c r="R10" s="129">
        <f>EB_Exist!K7</f>
        <v>3.26</v>
      </c>
    </row>
    <row r="11" spans="1:22" s="35" customFormat="1" ht="11.25" customHeight="1" x14ac:dyDescent="0.2">
      <c r="A11" s="12"/>
      <c r="D11" s="105" t="str">
        <f>RES!F2</f>
        <v>INFELC</v>
      </c>
      <c r="G11" s="100"/>
      <c r="H11" s="100"/>
      <c r="I11" s="12"/>
      <c r="J11" s="12"/>
      <c r="K11" s="12"/>
      <c r="L11" s="12"/>
      <c r="M11" s="12"/>
      <c r="N11" s="12"/>
      <c r="S11" s="129">
        <f>EB_Exist!K8</f>
        <v>46.37</v>
      </c>
    </row>
    <row r="12" spans="1:22" s="35" customFormat="1" ht="11.25" customHeight="1" x14ac:dyDescent="0.25">
      <c r="A12" s="12"/>
      <c r="B12" s="12"/>
      <c r="C12" s="12"/>
      <c r="D12" s="106"/>
      <c r="E12" s="105" t="str">
        <f>RES!O2</f>
        <v>IALM</v>
      </c>
      <c r="G12" s="100">
        <f>EB_Exist!K4/0.9</f>
        <v>0.79999999999999993</v>
      </c>
      <c r="H12" s="100">
        <v>0</v>
      </c>
      <c r="I12" s="127">
        <f>2%*J12</f>
        <v>457.5</v>
      </c>
      <c r="J12" s="12">
        <f>'Aluminium Data'!D7</f>
        <v>22875</v>
      </c>
      <c r="K12" s="12">
        <v>6</v>
      </c>
      <c r="L12" s="96">
        <f>EB_Exist!F9</f>
        <v>1640.7688481217385</v>
      </c>
      <c r="M12" s="96">
        <f>EB_Exist!F10</f>
        <v>0.41016760505000449</v>
      </c>
      <c r="N12" s="96">
        <f>EB_Exist!F11</f>
        <v>4.1062898593307487E-2</v>
      </c>
      <c r="O12" s="12">
        <v>1</v>
      </c>
      <c r="P12" s="35">
        <v>1</v>
      </c>
      <c r="U12" s="35">
        <v>1</v>
      </c>
      <c r="V12" s="35">
        <f>CommData_BASE!F15</f>
        <v>0.72</v>
      </c>
    </row>
    <row r="13" spans="1:22" s="35" customFormat="1" ht="11.25" customHeight="1" x14ac:dyDescent="0.25">
      <c r="A13" s="12"/>
      <c r="B13" s="38" t="str">
        <f>RES!M15</f>
        <v>IALPOTINERT</v>
      </c>
      <c r="C13" s="38" t="str">
        <f>RES!M12</f>
        <v>Aluminium smelters - potlines - inert anodes</v>
      </c>
      <c r="D13" s="106" t="str">
        <f>RES!D2</f>
        <v>INDGAS</v>
      </c>
      <c r="E13" s="105"/>
      <c r="G13" s="100"/>
      <c r="H13" s="100"/>
      <c r="I13" s="12"/>
      <c r="J13" s="12"/>
      <c r="K13" s="12"/>
      <c r="N13" s="12"/>
      <c r="O13" s="12"/>
      <c r="Q13" s="126">
        <f>'Aluminium Data'!O32</f>
        <v>2.2000000000000002</v>
      </c>
      <c r="R13" s="126"/>
      <c r="S13" s="126"/>
      <c r="T13" s="35">
        <v>2035</v>
      </c>
    </row>
    <row r="14" spans="1:22" s="35" customFormat="1" ht="11.25" customHeight="1" x14ac:dyDescent="0.25">
      <c r="A14" s="12"/>
      <c r="B14" s="12"/>
      <c r="C14" s="12"/>
      <c r="D14" s="106" t="str">
        <f>RES!E2</f>
        <v>INDOLP</v>
      </c>
      <c r="E14" s="105"/>
      <c r="G14" s="12"/>
      <c r="H14" s="12"/>
      <c r="I14" s="12"/>
      <c r="J14" s="12"/>
      <c r="K14" s="12"/>
      <c r="M14" s="12"/>
      <c r="N14" s="12"/>
      <c r="Q14" s="126"/>
      <c r="R14" s="126">
        <f>'Aluminium Data'!O33</f>
        <v>3.26</v>
      </c>
      <c r="S14" s="126"/>
    </row>
    <row r="15" spans="1:22" s="35" customFormat="1" ht="11.25" customHeight="1" x14ac:dyDescent="0.25">
      <c r="A15" s="12"/>
      <c r="B15" s="12"/>
      <c r="C15" s="12"/>
      <c r="D15" s="106" t="str">
        <f>RES!F2</f>
        <v>INFELC</v>
      </c>
      <c r="G15" s="12"/>
      <c r="H15" s="12"/>
      <c r="I15" s="12"/>
      <c r="J15" s="12"/>
      <c r="K15" s="12"/>
      <c r="L15" s="12"/>
      <c r="M15" s="12"/>
      <c r="N15" s="12"/>
      <c r="O15" s="12"/>
      <c r="Q15" s="126"/>
      <c r="R15" s="126"/>
      <c r="S15" s="126">
        <f>'Aluminium Data'!O34</f>
        <v>56.57</v>
      </c>
    </row>
    <row r="16" spans="1:22" ht="11.25" customHeight="1" x14ac:dyDescent="0.25">
      <c r="E16" s="106" t="str">
        <f>RES!O2</f>
        <v>IALM</v>
      </c>
      <c r="I16" s="127">
        <f>2%*J16</f>
        <v>587.5</v>
      </c>
      <c r="J16" s="127">
        <f>'Aluminium Data'!L28</f>
        <v>29375</v>
      </c>
      <c r="K16" s="127">
        <v>6</v>
      </c>
      <c r="L16" s="127">
        <v>0</v>
      </c>
      <c r="M16" s="127">
        <v>0</v>
      </c>
      <c r="N16" s="127">
        <v>0</v>
      </c>
      <c r="O16" s="12">
        <v>1</v>
      </c>
      <c r="P16" s="35">
        <v>1</v>
      </c>
    </row>
    <row r="17" spans="6:19" ht="11.25" customHeight="1" x14ac:dyDescent="0.2">
      <c r="F17" s="106"/>
      <c r="P17" s="35"/>
      <c r="Q17" s="35"/>
      <c r="R17" s="35"/>
      <c r="S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66675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D0FB-C02E-49F9-B426-0516E4289989}">
  <sheetPr codeName="Sheet31">
    <tabColor theme="4"/>
  </sheetPr>
  <dimension ref="A1:K17"/>
  <sheetViews>
    <sheetView zoomScale="115" zoomScaleNormal="115" workbookViewId="0">
      <pane xSplit="7" ySplit="7" topLeftCell="H8" activePane="bottomRight" state="frozen"/>
      <selection pane="topRight" activeCell="J1" sqref="J1"/>
      <selection pane="bottomLeft" activeCell="A8" sqref="A8"/>
      <selection pane="bottomRight" activeCell="I12" sqref="I12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35" customWidth="1"/>
    <col min="8" max="8" width="7.85546875" style="12" customWidth="1"/>
    <col min="9" max="9" width="7.5703125" style="12" customWidth="1"/>
    <col min="10" max="10" width="7.85546875" style="12" customWidth="1"/>
    <col min="11" max="16384" width="9.140625" style="12"/>
  </cols>
  <sheetData>
    <row r="1" spans="1:11" ht="11.25" customHeight="1" x14ac:dyDescent="0.2">
      <c r="A1" s="11" t="str">
        <f ca="1">IF(INDEX(Index!$E$6:$E$37,MATCH(A2,Index!$D$6:$D$37,0))=1,LEFT(A2,SEARCH("_",A2)-1),"")</f>
        <v/>
      </c>
      <c r="B1" s="18" t="e">
        <f>#REF!</f>
        <v>#REF!</v>
      </c>
    </row>
    <row r="2" spans="1:11" ht="11.25" customHeight="1" x14ac:dyDescent="0.2">
      <c r="A2" t="str">
        <f ca="1">MID(CELL("filename",A2),FIND("]",CELL("filename",A2))+1,255)</f>
        <v>ProcData_ALM - PAMS</v>
      </c>
    </row>
    <row r="3" spans="1:11" ht="34.5" customHeight="1" x14ac:dyDescent="0.2">
      <c r="H3" s="12" t="s">
        <v>140</v>
      </c>
    </row>
    <row r="4" spans="1:11" ht="21.75" customHeight="1" x14ac:dyDescent="0.2">
      <c r="E4" s="36"/>
      <c r="F4" s="36"/>
      <c r="G4" s="36"/>
      <c r="H4" s="97" t="s">
        <v>137</v>
      </c>
      <c r="I4" s="97" t="s">
        <v>137</v>
      </c>
      <c r="J4" s="97" t="s">
        <v>137</v>
      </c>
      <c r="K4" s="97" t="s">
        <v>137</v>
      </c>
    </row>
    <row r="5" spans="1:11" ht="16.5" customHeight="1" x14ac:dyDescent="0.2">
      <c r="H5" s="12" t="str">
        <f>E9</f>
        <v>INDGAS</v>
      </c>
      <c r="I5" s="12" t="str">
        <f>E10</f>
        <v>INDOLP</v>
      </c>
      <c r="J5" s="12" t="str">
        <f>E11</f>
        <v>INFELC</v>
      </c>
      <c r="K5" s="12" t="str">
        <f>J5</f>
        <v>INFELC</v>
      </c>
    </row>
    <row r="6" spans="1:11" ht="17.25" customHeight="1" x14ac:dyDescent="0.2"/>
    <row r="7" spans="1:11" ht="21.75" customHeight="1" x14ac:dyDescent="0.2">
      <c r="B7" s="11" t="s">
        <v>56</v>
      </c>
      <c r="C7" s="11" t="s">
        <v>57</v>
      </c>
      <c r="D7" s="15" t="s">
        <v>93</v>
      </c>
      <c r="E7" s="104" t="s">
        <v>80</v>
      </c>
      <c r="F7" s="104" t="s">
        <v>81</v>
      </c>
      <c r="G7" s="15" t="s">
        <v>94</v>
      </c>
      <c r="H7" s="99" t="str">
        <f>IFERROR(REPLACE(H4,SEARCH("-",H4),1,"~"),H4)&amp;"~"&amp;2020</f>
        <v>PRC_ACTFLO~2020</v>
      </c>
      <c r="I7" s="99" t="str">
        <f t="shared" ref="I7:K7" si="0">IFERROR(REPLACE(I4,SEARCH("-",I4),1,"~"),I4)&amp;"~"&amp;2020</f>
        <v>PRC_ACTFLO~2020</v>
      </c>
      <c r="J7" s="99" t="str">
        <f t="shared" si="0"/>
        <v>PRC_ACTFLO~2020</v>
      </c>
      <c r="K7" s="99" t="str">
        <f t="shared" si="0"/>
        <v>PRC_ACTFLO~2020</v>
      </c>
    </row>
    <row r="8" spans="1:11" ht="11.25" customHeight="1" x14ac:dyDescent="0.2">
      <c r="A8" s="41" t="str">
        <f>Processes_BASE!A8</f>
        <v>* Conversion technologies</v>
      </c>
      <c r="B8" s="38"/>
      <c r="E8" s="106"/>
      <c r="F8" s="105"/>
    </row>
    <row r="9" spans="1:11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38" t="str">
        <f>Processes_BASE!D10</f>
        <v>PJ</v>
      </c>
      <c r="E9" s="106" t="str">
        <f>RES!D2</f>
        <v>INDGAS</v>
      </c>
      <c r="F9" s="106"/>
      <c r="H9" s="101">
        <f>ProcData_ALM!Q9</f>
        <v>2.2000000000000002</v>
      </c>
      <c r="I9" s="12"/>
    </row>
    <row r="10" spans="1:11" s="35" customFormat="1" ht="11.25" customHeight="1" x14ac:dyDescent="0.2">
      <c r="A10" s="12"/>
      <c r="E10" s="106" t="str">
        <f>RES!E2</f>
        <v>INDOLP</v>
      </c>
      <c r="F10" s="106"/>
      <c r="I10" s="101">
        <f>ProcData_ALM!R10</f>
        <v>3.26</v>
      </c>
    </row>
    <row r="11" spans="1:11" s="35" customFormat="1" ht="11.25" customHeight="1" x14ac:dyDescent="0.2">
      <c r="A11" s="12"/>
      <c r="E11" s="105" t="str">
        <f>RES!F2</f>
        <v>INFELC</v>
      </c>
      <c r="J11" s="101">
        <f>ProcData_ALM!S11</f>
        <v>46.37</v>
      </c>
      <c r="K11" s="35">
        <f>J11*(1-Index!M14)</f>
        <v>44.051499999999997</v>
      </c>
    </row>
    <row r="12" spans="1:11" s="35" customFormat="1" ht="11.25" customHeight="1" x14ac:dyDescent="0.2">
      <c r="A12" s="12"/>
      <c r="B12" s="12"/>
      <c r="C12" s="12"/>
      <c r="D12" s="12"/>
      <c r="E12" s="106"/>
      <c r="F12" s="105" t="str">
        <f>RES!O2</f>
        <v>IALM</v>
      </c>
    </row>
    <row r="13" spans="1:11" ht="11.25" customHeight="1" x14ac:dyDescent="0.2">
      <c r="B13" s="38"/>
      <c r="C13" s="38"/>
      <c r="D13" s="38"/>
      <c r="E13" s="106"/>
      <c r="F13" s="105"/>
      <c r="H13" s="35"/>
      <c r="I13" s="35"/>
      <c r="J13" s="35"/>
    </row>
    <row r="14" spans="1:11" ht="11.25" customHeight="1" x14ac:dyDescent="0.2">
      <c r="E14" s="106"/>
      <c r="F14" s="105"/>
      <c r="H14" s="35"/>
      <c r="I14" s="35"/>
      <c r="J14" s="35"/>
    </row>
    <row r="15" spans="1:11" ht="11.25" customHeight="1" x14ac:dyDescent="0.2">
      <c r="E15" s="106"/>
      <c r="F15" s="35"/>
      <c r="H15" s="35"/>
      <c r="I15" s="35"/>
      <c r="J15" s="35"/>
    </row>
    <row r="16" spans="1:11" ht="11.25" customHeight="1" x14ac:dyDescent="0.2">
      <c r="E16" s="106"/>
      <c r="F16" s="44"/>
      <c r="H16" s="35"/>
      <c r="I16" s="35"/>
      <c r="J16" s="35"/>
    </row>
    <row r="17" spans="6:10" ht="11.25" customHeight="1" x14ac:dyDescent="0.2">
      <c r="F17" s="106"/>
      <c r="H17" s="35"/>
      <c r="I17" s="35"/>
      <c r="J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99681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99681" r:id="rId4" name="cmdTechNameAndDesc"/>
      </mc:Fallback>
    </mc:AlternateContent>
    <mc:AlternateContent xmlns:mc="http://schemas.openxmlformats.org/markup-compatibility/2006">
      <mc:Choice Requires="x14">
        <control shapeId="199682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2" r:id="rId6" name="cmdCommIN"/>
      </mc:Fallback>
    </mc:AlternateContent>
    <mc:AlternateContent xmlns:mc="http://schemas.openxmlformats.org/markup-compatibility/2006">
      <mc:Choice Requires="x14">
        <control shapeId="199683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3" r:id="rId8" name="cmdCommOUT"/>
      </mc:Fallback>
    </mc:AlternateContent>
    <mc:AlternateContent xmlns:mc="http://schemas.openxmlformats.org/markup-compatibility/2006">
      <mc:Choice Requires="x14">
        <control shapeId="199684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99684" r:id="rId10" name="cmdAddParameter"/>
      </mc:Fallback>
    </mc:AlternateContent>
    <mc:AlternateContent xmlns:mc="http://schemas.openxmlformats.org/markup-compatibility/2006">
      <mc:Choice Requires="x14">
        <control shapeId="199685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99685" r:id="rId12" name="cmdAddParamQualifier1"/>
      </mc:Fallback>
    </mc:AlternateContent>
    <mc:AlternateContent xmlns:mc="http://schemas.openxmlformats.org/markup-compatibility/2006">
      <mc:Choice Requires="x14">
        <control shapeId="199686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99686" r:id="rId14" name="cmdCheckTechDataSheet"/>
      </mc:Fallback>
    </mc:AlternateContent>
    <mc:AlternateContent xmlns:mc="http://schemas.openxmlformats.org/markup-compatibility/2006">
      <mc:Choice Requires="x14">
        <control shapeId="199687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99687" r:id="rId16" name="cmdAddParamQualifier2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zoomScaleNormal="100" workbookViewId="0">
      <pane xSplit="7" ySplit="7" topLeftCell="H8" activePane="bottomRight" state="frozen"/>
      <selection pane="topRight" activeCell="G1" sqref="G1"/>
      <selection pane="bottomLeft" activeCell="A8" sqref="A8"/>
      <selection pane="bottomRight"/>
    </sheetView>
  </sheetViews>
  <sheetFormatPr defaultColWidth="9.140625" defaultRowHeight="12.75" x14ac:dyDescent="0.2"/>
  <cols>
    <col min="1" max="2" width="12.42578125" style="17" customWidth="1"/>
    <col min="3" max="3" width="20.5703125" style="17" customWidth="1"/>
    <col min="4" max="4" width="8.7109375" style="17" customWidth="1"/>
    <col min="5" max="5" width="12.28515625" style="17" customWidth="1"/>
    <col min="6" max="7" width="12.140625" style="17" customWidth="1"/>
    <col min="8" max="8" width="10.7109375" style="17" customWidth="1"/>
    <col min="9" max="9" width="10.140625" customWidth="1"/>
    <col min="10" max="10" width="11.28515625" style="17" customWidth="1"/>
    <col min="11" max="11" width="11.140625" style="17" customWidth="1"/>
    <col min="12" max="12" width="12.85546875" style="17" customWidth="1"/>
    <col min="13" max="13" width="14" style="17" customWidth="1"/>
    <col min="14" max="14" width="13.42578125" style="17" customWidth="1"/>
    <col min="15" max="16" width="12.140625" style="17" customWidth="1"/>
    <col min="17" max="17" width="14.140625" style="17" customWidth="1"/>
    <col min="18" max="18" width="14.42578125" style="17" customWidth="1"/>
    <col min="19" max="19" width="17.42578125" style="17" customWidth="1"/>
    <col min="20" max="20" width="19.42578125" style="17" customWidth="1"/>
    <col min="21" max="21" width="19" style="17" customWidth="1"/>
    <col min="22" max="22" width="13.85546875" style="17" customWidth="1"/>
    <col min="23" max="23" width="13.7109375" style="17" customWidth="1"/>
    <col min="24" max="24" width="12.28515625" style="17" customWidth="1"/>
    <col min="25" max="25" width="10.28515625" style="17" customWidth="1"/>
    <col min="26" max="16384" width="9.140625" style="17"/>
  </cols>
  <sheetData>
    <row r="1" spans="1:24" s="18" customFormat="1" ht="11.25" x14ac:dyDescent="0.2">
      <c r="A1" s="20" t="s">
        <v>106</v>
      </c>
    </row>
    <row r="2" spans="1:24" s="18" customFormat="1" ht="11.25" customHeight="1" x14ac:dyDescent="0.2"/>
    <row r="3" spans="1:24" s="18" customFormat="1" ht="21.75" customHeight="1" x14ac:dyDescent="0.2">
      <c r="H3" s="30" t="s">
        <v>67</v>
      </c>
      <c r="I3" s="30" t="s">
        <v>68</v>
      </c>
      <c r="J3" s="30" t="s">
        <v>65</v>
      </c>
      <c r="K3" s="30" t="s">
        <v>66</v>
      </c>
      <c r="L3" s="30" t="s">
        <v>69</v>
      </c>
      <c r="M3" s="30" t="s">
        <v>70</v>
      </c>
      <c r="N3" s="31" t="s">
        <v>71</v>
      </c>
      <c r="O3" s="31" t="s">
        <v>73</v>
      </c>
      <c r="P3" s="31" t="s">
        <v>83</v>
      </c>
      <c r="Q3" s="31" t="s">
        <v>84</v>
      </c>
      <c r="R3" s="31" t="s">
        <v>85</v>
      </c>
      <c r="S3" s="31" t="s">
        <v>86</v>
      </c>
      <c r="T3" s="31" t="s">
        <v>87</v>
      </c>
      <c r="U3" s="31" t="s">
        <v>91</v>
      </c>
      <c r="V3" s="30" t="s">
        <v>88</v>
      </c>
      <c r="W3" s="30" t="s">
        <v>89</v>
      </c>
      <c r="X3" s="31" t="s">
        <v>90</v>
      </c>
    </row>
    <row r="4" spans="1:24" s="18" customFormat="1" ht="17.25" customHeight="1" x14ac:dyDescent="0.2">
      <c r="E4" s="29"/>
      <c r="F4" s="29"/>
      <c r="G4" s="29"/>
      <c r="H4" s="22" t="s">
        <v>48</v>
      </c>
      <c r="I4" s="25" t="s">
        <v>64</v>
      </c>
      <c r="J4" s="22" t="s">
        <v>60</v>
      </c>
      <c r="K4" s="22" t="s">
        <v>61</v>
      </c>
      <c r="L4" s="22" t="s">
        <v>49</v>
      </c>
      <c r="M4" s="25" t="s">
        <v>58</v>
      </c>
      <c r="N4" s="22" t="s">
        <v>53</v>
      </c>
      <c r="O4" s="25" t="s">
        <v>62</v>
      </c>
      <c r="P4" s="25" t="s">
        <v>55</v>
      </c>
      <c r="Q4" s="25" t="s">
        <v>72</v>
      </c>
      <c r="R4" s="25" t="s">
        <v>74</v>
      </c>
      <c r="S4" s="25" t="s">
        <v>75</v>
      </c>
      <c r="T4" s="25" t="s">
        <v>76</v>
      </c>
      <c r="U4" s="25" t="s">
        <v>78</v>
      </c>
      <c r="V4" s="22" t="s">
        <v>50</v>
      </c>
      <c r="W4" s="22" t="s">
        <v>52</v>
      </c>
      <c r="X4" s="22" t="s">
        <v>54</v>
      </c>
    </row>
    <row r="5" spans="1:24" s="18" customFormat="1" ht="17.25" customHeight="1" x14ac:dyDescent="0.2">
      <c r="H5" s="28"/>
      <c r="I5" s="28"/>
      <c r="J5" s="23" t="s">
        <v>59</v>
      </c>
      <c r="K5" s="23" t="s">
        <v>59</v>
      </c>
      <c r="L5" s="28"/>
      <c r="M5" s="23" t="s">
        <v>59</v>
      </c>
      <c r="N5" s="23" t="s">
        <v>59</v>
      </c>
      <c r="O5" s="26" t="s">
        <v>63</v>
      </c>
      <c r="P5" s="26" t="s">
        <v>63</v>
      </c>
      <c r="Q5" s="26" t="s">
        <v>63</v>
      </c>
      <c r="R5" s="26" t="s">
        <v>63</v>
      </c>
      <c r="S5" s="26" t="s">
        <v>63</v>
      </c>
      <c r="T5" s="26" t="s">
        <v>63</v>
      </c>
      <c r="U5" s="26" t="s">
        <v>63</v>
      </c>
    </row>
    <row r="6" spans="1:24" s="18" customFormat="1" ht="17.25" customHeight="1" x14ac:dyDescent="0.2">
      <c r="H6" s="28"/>
      <c r="I6" s="28"/>
      <c r="J6" s="28"/>
      <c r="K6" s="28"/>
      <c r="L6" s="28"/>
      <c r="M6" s="28"/>
      <c r="N6" s="28"/>
      <c r="O6" s="28"/>
      <c r="P6" s="26" t="s">
        <v>79</v>
      </c>
      <c r="Q6" s="28"/>
      <c r="R6" s="28"/>
      <c r="S6" s="28"/>
      <c r="T6" s="26" t="s">
        <v>77</v>
      </c>
      <c r="U6" s="34" t="s">
        <v>82</v>
      </c>
    </row>
    <row r="7" spans="1:24" s="18" customFormat="1" ht="17.25" customHeight="1" x14ac:dyDescent="0.2">
      <c r="B7" s="20" t="s">
        <v>46</v>
      </c>
      <c r="C7" s="20" t="s">
        <v>47</v>
      </c>
      <c r="D7" s="20" t="s">
        <v>43</v>
      </c>
      <c r="E7" s="20" t="s">
        <v>56</v>
      </c>
      <c r="F7" s="20" t="s">
        <v>40</v>
      </c>
      <c r="G7" s="20" t="s">
        <v>45</v>
      </c>
      <c r="H7" s="27" t="s">
        <v>44</v>
      </c>
      <c r="J7" s="27" t="s">
        <v>44</v>
      </c>
      <c r="K7" s="30"/>
      <c r="L7" s="27" t="s">
        <v>44</v>
      </c>
      <c r="M7" s="20"/>
      <c r="N7" s="30"/>
      <c r="O7" s="20"/>
      <c r="P7" s="25" t="s">
        <v>44</v>
      </c>
      <c r="Q7" s="25"/>
      <c r="R7" s="25"/>
      <c r="S7" s="25"/>
      <c r="T7" s="25"/>
      <c r="U7" s="25" t="s">
        <v>44</v>
      </c>
      <c r="V7" s="33" t="s">
        <v>51</v>
      </c>
      <c r="W7" s="33" t="s">
        <v>51</v>
      </c>
      <c r="X7" s="33" t="s">
        <v>51</v>
      </c>
    </row>
    <row r="9" spans="1:24" x14ac:dyDescent="0.2">
      <c r="A9" s="16"/>
      <c r="B9" s="16"/>
      <c r="C9" s="16"/>
      <c r="D9" s="16"/>
      <c r="E9" s="16"/>
      <c r="F9" s="16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4" t="s">
        <v>26</v>
      </c>
      <c r="C10" s="12" t="s">
        <v>27</v>
      </c>
      <c r="D10" s="12" t="s">
        <v>28</v>
      </c>
      <c r="F10" s="14" t="s">
        <v>29</v>
      </c>
    </row>
    <row r="11" spans="1:7" x14ac:dyDescent="0.2">
      <c r="B11" s="14" t="s">
        <v>26</v>
      </c>
      <c r="C11" s="12" t="s">
        <v>30</v>
      </c>
      <c r="D11" s="12" t="s">
        <v>31</v>
      </c>
      <c r="F11" s="14" t="s">
        <v>29</v>
      </c>
    </row>
    <row r="12" spans="1:7" x14ac:dyDescent="0.2">
      <c r="B12" s="14" t="s">
        <v>26</v>
      </c>
      <c r="C12" s="12" t="s">
        <v>32</v>
      </c>
      <c r="D12" s="12" t="s">
        <v>33</v>
      </c>
      <c r="F12" s="14" t="s">
        <v>29</v>
      </c>
    </row>
    <row r="13" spans="1:7" x14ac:dyDescent="0.2">
      <c r="B13" s="14" t="s">
        <v>26</v>
      </c>
      <c r="C13" s="12" t="s">
        <v>34</v>
      </c>
      <c r="D13" s="12" t="s">
        <v>35</v>
      </c>
      <c r="F13" s="14" t="s">
        <v>29</v>
      </c>
    </row>
    <row r="14" spans="1:7" x14ac:dyDescent="0.2">
      <c r="B14" s="14" t="s">
        <v>26</v>
      </c>
      <c r="C14" s="12" t="s">
        <v>36</v>
      </c>
      <c r="D14" s="12" t="s">
        <v>37</v>
      </c>
      <c r="F14" s="14" t="s">
        <v>29</v>
      </c>
    </row>
    <row r="15" spans="1:7" x14ac:dyDescent="0.2">
      <c r="B15" s="14" t="s">
        <v>26</v>
      </c>
      <c r="C15" s="12" t="s">
        <v>38</v>
      </c>
      <c r="D15" s="12" t="s">
        <v>39</v>
      </c>
      <c r="F15" s="14" t="s">
        <v>29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>
      <pane ySplit="7" topLeftCell="A8" activePane="bottomLeft" state="frozen"/>
      <selection pane="bottomLeft" activeCell="A9" sqref="A9"/>
    </sheetView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Production and Capacities</vt:lpstr>
      <vt:lpstr>Emissions</vt:lpstr>
      <vt:lpstr>Energy intensity</vt:lpstr>
      <vt:lpstr>DOE project</vt:lpstr>
      <vt:lpstr>AL roadmap </vt:lpstr>
      <vt:lpstr>ANSv2-692-Home</vt:lpstr>
      <vt:lpstr>Index</vt:lpstr>
      <vt:lpstr>RES</vt:lpstr>
      <vt:lpstr>EB_Exist</vt:lpstr>
      <vt:lpstr>Aluminium Data</vt:lpstr>
      <vt:lpstr>Commodities_BASE</vt:lpstr>
      <vt:lpstr>CommData_BASE</vt:lpstr>
      <vt:lpstr>Processes_BASE</vt:lpstr>
      <vt:lpstr>ProcData_ALM</vt:lpstr>
      <vt:lpstr>ProcData_ALM - PAMS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2023-09-06T13:56:05Z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