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threadedComments/threadedComment6.xml" ContentType="application/vnd.ms-excel.threaded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drawings/drawing6.xml" ContentType="application/vnd.openxmlformats-officedocument.drawing+xml"/>
  <Override PartName="/xl/comments10.xml" ContentType="application/vnd.openxmlformats-officedocument.spreadsheetml.comments+xml"/>
  <Override PartName="/xl/threadedComments/threadedComment7.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E4042EAB-FCAE-4057-9593-F484E7E9BAE1}" xr6:coauthVersionLast="47" xr6:coauthVersionMax="47" xr10:uidLastSave="{00000000-0000-0000-0000-000000000000}"/>
  <bookViews>
    <workbookView xWindow="-315" yWindow="-15255" windowWidth="26610" windowHeight="13740" activeTab="4"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Vehicle data-proc2023" sheetId="8"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4" i="11" l="1" a="1"/>
  <c r="P74" i="11" s="1"/>
  <c r="J36" i="10"/>
  <c r="J35" i="10"/>
  <c r="J34" i="10"/>
  <c r="J33" i="10"/>
  <c r="J32" i="10"/>
  <c r="J31" i="10"/>
  <c r="J30" i="10"/>
  <c r="J29" i="10"/>
  <c r="J28" i="10"/>
  <c r="J27" i="10"/>
  <c r="J24" i="10"/>
  <c r="J23" i="10"/>
  <c r="J20" i="10"/>
  <c r="J18" i="10"/>
  <c r="AJ110" i="8" l="1" a="1"/>
  <c r="AJ110" i="8" s="1"/>
  <c r="AI110" i="8" a="1"/>
  <c r="AI110" i="8" s="1"/>
  <c r="AH110" i="8" a="1"/>
  <c r="AH110" i="8" s="1"/>
  <c r="AG110" i="8" a="1"/>
  <c r="AG110" i="8" s="1"/>
  <c r="AF110" i="8" a="1"/>
  <c r="AF110" i="8" s="1"/>
  <c r="AE110" i="8" a="1"/>
  <c r="AE110" i="8" s="1"/>
  <c r="AD110" i="8" a="1"/>
  <c r="AD110" i="8" s="1"/>
  <c r="AJ109" i="8" a="1"/>
  <c r="AJ109" i="8" s="1"/>
  <c r="AI109" i="8" a="1"/>
  <c r="AI109" i="8" s="1"/>
  <c r="AH109" i="8" a="1"/>
  <c r="AH109" i="8" s="1"/>
  <c r="AG109" i="8" a="1"/>
  <c r="AG109" i="8" s="1"/>
  <c r="AF109" i="8" a="1"/>
  <c r="AF109" i="8" s="1"/>
  <c r="AE109" i="8" a="1"/>
  <c r="AE109" i="8" s="1"/>
  <c r="AD109" i="8" a="1"/>
  <c r="AD109" i="8" s="1"/>
  <c r="AJ108" i="8" a="1"/>
  <c r="AJ108" i="8" s="1"/>
  <c r="AI108" i="8" a="1"/>
  <c r="AI108" i="8" s="1"/>
  <c r="AH108" i="8" a="1"/>
  <c r="AH108" i="8" s="1"/>
  <c r="AG108" i="8" a="1"/>
  <c r="AG108" i="8" s="1"/>
  <c r="AF108" i="8" a="1"/>
  <c r="AF108" i="8" s="1"/>
  <c r="AE108" i="8" a="1"/>
  <c r="AE108" i="8" s="1"/>
  <c r="AD108" i="8" a="1"/>
  <c r="AD108" i="8" s="1"/>
  <c r="AJ107" i="8" a="1"/>
  <c r="AJ107" i="8" s="1"/>
  <c r="AI107" i="8" a="1"/>
  <c r="AI107" i="8" s="1"/>
  <c r="AH107" i="8" a="1"/>
  <c r="AH107" i="8" s="1"/>
  <c r="AG107" i="8" a="1"/>
  <c r="AG107" i="8" s="1"/>
  <c r="AF107" i="8" a="1"/>
  <c r="AF107" i="8" s="1"/>
  <c r="AE107" i="8" a="1"/>
  <c r="AE107" i="8" s="1"/>
  <c r="AD107" i="8" a="1"/>
  <c r="AD107" i="8" s="1"/>
  <c r="AJ106" i="8" a="1"/>
  <c r="AJ106" i="8" s="1"/>
  <c r="AI106" i="8" a="1"/>
  <c r="AI106" i="8" s="1"/>
  <c r="AH106" i="8" a="1"/>
  <c r="AH106" i="8" s="1"/>
  <c r="AG106" i="8" a="1"/>
  <c r="AG106" i="8" s="1"/>
  <c r="AF106" i="8" a="1"/>
  <c r="AF106" i="8" s="1"/>
  <c r="AE106" i="8" a="1"/>
  <c r="AE106" i="8" s="1"/>
  <c r="AD106" i="8" a="1"/>
  <c r="AD106" i="8" s="1"/>
  <c r="AJ105" i="8" a="1"/>
  <c r="AJ105" i="8" s="1"/>
  <c r="AI105" i="8" a="1"/>
  <c r="AI105" i="8" s="1"/>
  <c r="AH105" i="8" a="1"/>
  <c r="AH105" i="8" s="1"/>
  <c r="AG105" i="8" a="1"/>
  <c r="AG105" i="8" s="1"/>
  <c r="AF105" i="8" a="1"/>
  <c r="AF105" i="8" s="1"/>
  <c r="AE105" i="8" a="1"/>
  <c r="AE105" i="8" s="1"/>
  <c r="AD105" i="8" a="1"/>
  <c r="AD105" i="8" s="1"/>
  <c r="AJ104" i="8" a="1"/>
  <c r="AJ104" i="8" s="1"/>
  <c r="AI104" i="8" a="1"/>
  <c r="AI104" i="8" s="1"/>
  <c r="AH104" i="8" a="1"/>
  <c r="AH104" i="8" s="1"/>
  <c r="AG104" i="8" a="1"/>
  <c r="AG104" i="8" s="1"/>
  <c r="AF104" i="8" a="1"/>
  <c r="AF104" i="8" s="1"/>
  <c r="AE104" i="8" a="1"/>
  <c r="AE104" i="8" s="1"/>
  <c r="AD104" i="8" a="1"/>
  <c r="AD104" i="8" s="1"/>
  <c r="AJ103" i="8" a="1"/>
  <c r="AJ103" i="8" s="1"/>
  <c r="AI103" i="8" a="1"/>
  <c r="AI103" i="8" s="1"/>
  <c r="AH103" i="8" a="1"/>
  <c r="AH103" i="8" s="1"/>
  <c r="AG103" i="8" a="1"/>
  <c r="AG103" i="8" s="1"/>
  <c r="AF103" i="8" a="1"/>
  <c r="AF103" i="8" s="1"/>
  <c r="AE103" i="8" a="1"/>
  <c r="AE103" i="8" s="1"/>
  <c r="AD103" i="8" a="1"/>
  <c r="AD103" i="8" s="1"/>
  <c r="AJ102" i="8" a="1"/>
  <c r="AJ102" i="8" s="1"/>
  <c r="AI102" i="8" a="1"/>
  <c r="AI102" i="8" s="1"/>
  <c r="AH102" i="8" a="1"/>
  <c r="AH102" i="8" s="1"/>
  <c r="AG102" i="8" a="1"/>
  <c r="AG102" i="8" s="1"/>
  <c r="AF102" i="8" a="1"/>
  <c r="AF102" i="8" s="1"/>
  <c r="AE102" i="8" a="1"/>
  <c r="AE102" i="8" s="1"/>
  <c r="AD102" i="8" a="1"/>
  <c r="AD102" i="8" s="1"/>
  <c r="AJ101" i="8" a="1"/>
  <c r="AJ101" i="8" s="1"/>
  <c r="AI101" i="8" a="1"/>
  <c r="AI101" i="8" s="1"/>
  <c r="AH101" i="8" a="1"/>
  <c r="AH101" i="8" s="1"/>
  <c r="AG101" i="8" a="1"/>
  <c r="AG101" i="8" s="1"/>
  <c r="AF101" i="8" a="1"/>
  <c r="AF101" i="8" s="1"/>
  <c r="AE101" i="8" a="1"/>
  <c r="AE101" i="8" s="1"/>
  <c r="AD101" i="8" a="1"/>
  <c r="AD101" i="8" s="1"/>
  <c r="AJ100" i="8" a="1"/>
  <c r="AJ100" i="8" s="1"/>
  <c r="AI100" i="8" a="1"/>
  <c r="AI100" i="8" s="1"/>
  <c r="AH100" i="8" a="1"/>
  <c r="AH100" i="8" s="1"/>
  <c r="AG100" i="8" a="1"/>
  <c r="AG100" i="8" s="1"/>
  <c r="AF100" i="8" a="1"/>
  <c r="AF100" i="8" s="1"/>
  <c r="AE100" i="8" a="1"/>
  <c r="AE100" i="8" s="1"/>
  <c r="AD100" i="8" a="1"/>
  <c r="AD100" i="8" s="1"/>
  <c r="AJ99" i="8" a="1"/>
  <c r="AJ99" i="8" s="1"/>
  <c r="AI99" i="8" a="1"/>
  <c r="AI99" i="8" s="1"/>
  <c r="AH99" i="8" a="1"/>
  <c r="AH99" i="8" s="1"/>
  <c r="AG99" i="8" a="1"/>
  <c r="AG99" i="8" s="1"/>
  <c r="AF99" i="8" a="1"/>
  <c r="AF99" i="8" s="1"/>
  <c r="AE99" i="8" a="1"/>
  <c r="AE99" i="8" s="1"/>
  <c r="AD99" i="8" a="1"/>
  <c r="AD99" i="8" s="1"/>
  <c r="AJ95" i="8" a="1"/>
  <c r="AJ95" i="8" s="1"/>
  <c r="AI95" i="8" a="1"/>
  <c r="AI95" i="8" s="1"/>
  <c r="AH95" i="8" a="1"/>
  <c r="AH95" i="8" s="1"/>
  <c r="AG95" i="8" a="1"/>
  <c r="AG95" i="8" s="1"/>
  <c r="AF95" i="8" a="1"/>
  <c r="AF95" i="8" s="1"/>
  <c r="AE95" i="8" a="1"/>
  <c r="AE95" i="8" s="1"/>
  <c r="AD95" i="8" a="1"/>
  <c r="AD95" i="8" s="1"/>
  <c r="AJ91" i="8" a="1"/>
  <c r="AJ91" i="8" s="1"/>
  <c r="AI91" i="8" a="1"/>
  <c r="AI91" i="8" s="1"/>
  <c r="AH91" i="8" a="1"/>
  <c r="AH91" i="8" s="1"/>
  <c r="AG91" i="8" a="1"/>
  <c r="AG91" i="8" s="1"/>
  <c r="AF91" i="8" a="1"/>
  <c r="AF91" i="8" s="1"/>
  <c r="AE91" i="8" a="1"/>
  <c r="AE91" i="8" s="1"/>
  <c r="AD91" i="8" a="1"/>
  <c r="AD91" i="8" s="1"/>
  <c r="AJ90" i="8" a="1"/>
  <c r="AJ90" i="8" s="1"/>
  <c r="AI90" i="8" a="1"/>
  <c r="AI90" i="8" s="1"/>
  <c r="AH90" i="8" a="1"/>
  <c r="AH90" i="8" s="1"/>
  <c r="AG90" i="8" a="1"/>
  <c r="AG90" i="8" s="1"/>
  <c r="AF90" i="8" a="1"/>
  <c r="AF90" i="8" s="1"/>
  <c r="AE90" i="8" a="1"/>
  <c r="AE90" i="8" s="1"/>
  <c r="AD90" i="8" a="1"/>
  <c r="AD90" i="8" s="1"/>
  <c r="AJ89" i="8" a="1"/>
  <c r="AJ89" i="8" s="1"/>
  <c r="AI89" i="8" a="1"/>
  <c r="AI89" i="8" s="1"/>
  <c r="AH89" i="8" a="1"/>
  <c r="AH89" i="8" s="1"/>
  <c r="AG89" i="8" a="1"/>
  <c r="AG89" i="8" s="1"/>
  <c r="AF89" i="8" a="1"/>
  <c r="AF89" i="8" s="1"/>
  <c r="AE89" i="8" a="1"/>
  <c r="AE89" i="8" s="1"/>
  <c r="AD89" i="8" a="1"/>
  <c r="AD89" i="8" s="1"/>
  <c r="AJ88" i="8" a="1"/>
  <c r="AJ88" i="8" s="1"/>
  <c r="AI88" i="8" a="1"/>
  <c r="AI88" i="8" s="1"/>
  <c r="AH88" i="8" a="1"/>
  <c r="AH88" i="8" s="1"/>
  <c r="AG88" i="8" a="1"/>
  <c r="AG88" i="8" s="1"/>
  <c r="AF88" i="8" a="1"/>
  <c r="AF88" i="8" s="1"/>
  <c r="AE88" i="8" a="1"/>
  <c r="AE88" i="8" s="1"/>
  <c r="AD88" i="8" a="1"/>
  <c r="AD88" i="8" s="1"/>
  <c r="AJ87" i="8" a="1"/>
  <c r="AJ87" i="8" s="1"/>
  <c r="AI87" i="8" a="1"/>
  <c r="AI87" i="8" s="1"/>
  <c r="AH87" i="8" a="1"/>
  <c r="AH87" i="8" s="1"/>
  <c r="AG87" i="8" a="1"/>
  <c r="AG87" i="8" s="1"/>
  <c r="AF87" i="8" a="1"/>
  <c r="AF87" i="8" s="1"/>
  <c r="AE87" i="8" a="1"/>
  <c r="AE87" i="8" s="1"/>
  <c r="AD87" i="8" a="1"/>
  <c r="AD87" i="8" s="1"/>
  <c r="AJ82" i="8" a="1"/>
  <c r="AJ82" i="8" s="1"/>
  <c r="AI82" i="8" a="1"/>
  <c r="AI82" i="8" s="1"/>
  <c r="AH82" i="8" a="1"/>
  <c r="AH82" i="8" s="1"/>
  <c r="AG82" i="8" a="1"/>
  <c r="AG82" i="8" s="1"/>
  <c r="AF82" i="8" a="1"/>
  <c r="AF82" i="8" s="1"/>
  <c r="AE82" i="8" a="1"/>
  <c r="AE82" i="8" s="1"/>
  <c r="AD82" i="8" a="1"/>
  <c r="AD82" i="8" s="1"/>
  <c r="AJ77" i="8" a="1"/>
  <c r="AJ77" i="8" s="1"/>
  <c r="AI77" i="8" a="1"/>
  <c r="AI77" i="8" s="1"/>
  <c r="AH77" i="8" a="1"/>
  <c r="AH77" i="8" s="1"/>
  <c r="AG77" i="8" a="1"/>
  <c r="AG77" i="8" s="1"/>
  <c r="AF77" i="8" a="1"/>
  <c r="AF77" i="8" s="1"/>
  <c r="AE77" i="8" a="1"/>
  <c r="AE77" i="8" s="1"/>
  <c r="AD77" i="8" a="1"/>
  <c r="AD77" i="8" s="1"/>
  <c r="AJ71" i="8" a="1"/>
  <c r="AJ71" i="8" s="1"/>
  <c r="AI71" i="8" a="1"/>
  <c r="AI71" i="8" s="1"/>
  <c r="AH71" i="8" a="1"/>
  <c r="AH71" i="8" s="1"/>
  <c r="AG71" i="8" a="1"/>
  <c r="AG71" i="8" s="1"/>
  <c r="AF71" i="8" a="1"/>
  <c r="AF71" i="8" s="1"/>
  <c r="AE71" i="8" a="1"/>
  <c r="AE71" i="8" s="1"/>
  <c r="AD71" i="8" a="1"/>
  <c r="AD71" i="8" s="1"/>
  <c r="AJ63" i="8" a="1"/>
  <c r="AJ63" i="8" s="1"/>
  <c r="AI63" i="8" a="1"/>
  <c r="AI63" i="8" s="1"/>
  <c r="AH63" i="8" a="1"/>
  <c r="AH63" i="8" s="1"/>
  <c r="AG63" i="8" a="1"/>
  <c r="AG63" i="8" s="1"/>
  <c r="AF63" i="8" a="1"/>
  <c r="AF63" i="8" s="1"/>
  <c r="AE63" i="8" a="1"/>
  <c r="AE63" i="8" s="1"/>
  <c r="AD63" i="8" a="1"/>
  <c r="AD63" i="8" s="1"/>
  <c r="AJ62" i="8" a="1"/>
  <c r="AJ62" i="8" s="1"/>
  <c r="AI62" i="8" a="1"/>
  <c r="AI62" i="8" s="1"/>
  <c r="AH62" i="8" a="1"/>
  <c r="AH62" i="8" s="1"/>
  <c r="AG62" i="8" a="1"/>
  <c r="AG62" i="8" s="1"/>
  <c r="AF62" i="8" a="1"/>
  <c r="AF62" i="8" s="1"/>
  <c r="AE62" i="8" a="1"/>
  <c r="AE62" i="8" s="1"/>
  <c r="AD62" i="8" a="1"/>
  <c r="AD62" i="8" s="1"/>
  <c r="AJ61" i="8" a="1"/>
  <c r="AJ61" i="8" s="1"/>
  <c r="AI61" i="8" a="1"/>
  <c r="AI61" i="8" s="1"/>
  <c r="AH61" i="8" a="1"/>
  <c r="AH61" i="8" s="1"/>
  <c r="AG61" i="8" a="1"/>
  <c r="AG61" i="8" s="1"/>
  <c r="AF61" i="8" a="1"/>
  <c r="AF61" i="8" s="1"/>
  <c r="AE61" i="8" a="1"/>
  <c r="AE61" i="8" s="1"/>
  <c r="AD61" i="8" a="1"/>
  <c r="AD61" i="8" s="1"/>
  <c r="AJ60" i="8" a="1"/>
  <c r="AJ60" i="8" s="1"/>
  <c r="AI60" i="8" a="1"/>
  <c r="AI60" i="8" s="1"/>
  <c r="AH60" i="8" a="1"/>
  <c r="AH60" i="8" s="1"/>
  <c r="AG60" i="8" a="1"/>
  <c r="AG60" i="8" s="1"/>
  <c r="AF60" i="8" a="1"/>
  <c r="AF60" i="8" s="1"/>
  <c r="AE60" i="8" a="1"/>
  <c r="AE60" i="8" s="1"/>
  <c r="AD60" i="8" a="1"/>
  <c r="AD60" i="8" s="1"/>
  <c r="AJ59" i="8" a="1"/>
  <c r="AJ59" i="8" s="1"/>
  <c r="AI59" i="8" a="1"/>
  <c r="AI59" i="8" s="1"/>
  <c r="AH59" i="8" a="1"/>
  <c r="AH59" i="8" s="1"/>
  <c r="AG59" i="8" a="1"/>
  <c r="AG59" i="8" s="1"/>
  <c r="AF59" i="8" a="1"/>
  <c r="AF59" i="8" s="1"/>
  <c r="AE59" i="8" a="1"/>
  <c r="AE59" i="8" s="1"/>
  <c r="AD59" i="8" a="1"/>
  <c r="AD59" i="8" s="1"/>
  <c r="AJ58" i="8" a="1"/>
  <c r="AJ58" i="8" s="1"/>
  <c r="AI58" i="8" a="1"/>
  <c r="AI58" i="8" s="1"/>
  <c r="AH58" i="8" a="1"/>
  <c r="AH58" i="8" s="1"/>
  <c r="AG58" i="8" a="1"/>
  <c r="AG58" i="8" s="1"/>
  <c r="AF58" i="8" a="1"/>
  <c r="AF58" i="8" s="1"/>
  <c r="AE58" i="8" a="1"/>
  <c r="AE58" i="8" s="1"/>
  <c r="AD58" i="8" a="1"/>
  <c r="AD58" i="8" s="1"/>
  <c r="AJ57" i="8" a="1"/>
  <c r="AJ57" i="8" s="1"/>
  <c r="AI57" i="8" a="1"/>
  <c r="AI57" i="8" s="1"/>
  <c r="AH57" i="8" a="1"/>
  <c r="AH57" i="8" s="1"/>
  <c r="AG57" i="8" a="1"/>
  <c r="AG57" i="8" s="1"/>
  <c r="AF57" i="8" a="1"/>
  <c r="AF57" i="8" s="1"/>
  <c r="AE57" i="8" a="1"/>
  <c r="AE57" i="8" s="1"/>
  <c r="AD57" i="8" a="1"/>
  <c r="AD57" i="8" s="1"/>
  <c r="AJ56" i="8" a="1"/>
  <c r="AJ56" i="8" s="1"/>
  <c r="AI56" i="8" a="1"/>
  <c r="AI56" i="8" s="1"/>
  <c r="AH56" i="8" a="1"/>
  <c r="AH56" i="8" s="1"/>
  <c r="AG56" i="8" a="1"/>
  <c r="AG56" i="8" s="1"/>
  <c r="AF56" i="8" a="1"/>
  <c r="AF56" i="8" s="1"/>
  <c r="AE56" i="8" a="1"/>
  <c r="AE56" i="8" s="1"/>
  <c r="AD56" i="8" a="1"/>
  <c r="AD56" i="8" s="1"/>
  <c r="AJ55" i="8" a="1"/>
  <c r="AJ55" i="8" s="1"/>
  <c r="AI55" i="8" a="1"/>
  <c r="AI55" i="8" s="1"/>
  <c r="AH55" i="8" a="1"/>
  <c r="AH55" i="8" s="1"/>
  <c r="AG55" i="8" a="1"/>
  <c r="AG55" i="8" s="1"/>
  <c r="AF55" i="8" a="1"/>
  <c r="AF55" i="8" s="1"/>
  <c r="AE55" i="8" a="1"/>
  <c r="AE55" i="8" s="1"/>
  <c r="AD55" i="8" a="1"/>
  <c r="AD55" i="8" s="1"/>
  <c r="AJ54" i="8" a="1"/>
  <c r="AJ54" i="8" s="1"/>
  <c r="AI54" i="8" a="1"/>
  <c r="AI54" i="8" s="1"/>
  <c r="AH54" i="8" a="1"/>
  <c r="AH54" i="8" s="1"/>
  <c r="AG54" i="8" a="1"/>
  <c r="AG54" i="8" s="1"/>
  <c r="AF54" i="8" a="1"/>
  <c r="AF54" i="8" s="1"/>
  <c r="AE54" i="8" a="1"/>
  <c r="AE54" i="8" s="1"/>
  <c r="AD54" i="8" a="1"/>
  <c r="AD54" i="8" s="1"/>
  <c r="AJ53" i="8" a="1"/>
  <c r="AJ53" i="8" s="1"/>
  <c r="AI53" i="8" a="1"/>
  <c r="AI53" i="8" s="1"/>
  <c r="AH53" i="8" a="1"/>
  <c r="AH53" i="8" s="1"/>
  <c r="AG53" i="8" a="1"/>
  <c r="AG53" i="8" s="1"/>
  <c r="AF53" i="8" a="1"/>
  <c r="AF53" i="8" s="1"/>
  <c r="AE53" i="8" a="1"/>
  <c r="AE53" i="8" s="1"/>
  <c r="AD53" i="8" a="1"/>
  <c r="AD53" i="8" s="1"/>
  <c r="AJ52" i="8" a="1"/>
  <c r="AJ52" i="8" s="1"/>
  <c r="AI52" i="8" a="1"/>
  <c r="AI52" i="8" s="1"/>
  <c r="AH52" i="8" a="1"/>
  <c r="AH52" i="8" s="1"/>
  <c r="AG52" i="8" a="1"/>
  <c r="AG52" i="8" s="1"/>
  <c r="AF52" i="8" a="1"/>
  <c r="AF52" i="8" s="1"/>
  <c r="AE52" i="8" a="1"/>
  <c r="AE52" i="8" s="1"/>
  <c r="AD52" i="8" a="1"/>
  <c r="AD52" i="8" s="1"/>
  <c r="AJ51" i="8" a="1"/>
  <c r="AJ51" i="8" s="1"/>
  <c r="AI51" i="8" a="1"/>
  <c r="AI51" i="8" s="1"/>
  <c r="AH51" i="8" a="1"/>
  <c r="AH51" i="8" s="1"/>
  <c r="AG51" i="8" a="1"/>
  <c r="AG51" i="8" s="1"/>
  <c r="AF51" i="8" a="1"/>
  <c r="AF51" i="8" s="1"/>
  <c r="AE51" i="8" a="1"/>
  <c r="AE51" i="8" s="1"/>
  <c r="AD51" i="8" a="1"/>
  <c r="AD51" i="8" s="1"/>
  <c r="AJ46" i="8" a="1"/>
  <c r="AJ46" i="8" s="1"/>
  <c r="AI46" i="8" a="1"/>
  <c r="AI46" i="8" s="1"/>
  <c r="AH46" i="8" a="1"/>
  <c r="AH46" i="8" s="1"/>
  <c r="AG46" i="8" a="1"/>
  <c r="AG46" i="8" s="1"/>
  <c r="AF46" i="8" a="1"/>
  <c r="AF46" i="8" s="1"/>
  <c r="AE46" i="8" a="1"/>
  <c r="AE46" i="8" s="1"/>
  <c r="AD46" i="8" a="1"/>
  <c r="AD46" i="8" s="1"/>
  <c r="AJ39" i="8" a="1"/>
  <c r="AJ39" i="8" s="1"/>
  <c r="AI39" i="8" a="1"/>
  <c r="AI39" i="8" s="1"/>
  <c r="AH39" i="8" a="1"/>
  <c r="AH39" i="8" s="1"/>
  <c r="AG39" i="8" a="1"/>
  <c r="AG39" i="8" s="1"/>
  <c r="AF39" i="8" a="1"/>
  <c r="AF39" i="8" s="1"/>
  <c r="AE39" i="8" a="1"/>
  <c r="AE39" i="8" s="1"/>
  <c r="AD39" i="8" a="1"/>
  <c r="AD39" i="8" s="1"/>
  <c r="AJ30" i="8" a="1"/>
  <c r="AJ30" i="8" s="1"/>
  <c r="AI30" i="8" a="1"/>
  <c r="AI30" i="8" s="1"/>
  <c r="AH30" i="8" a="1"/>
  <c r="AH30" i="8" s="1"/>
  <c r="AG30" i="8" a="1"/>
  <c r="AG30" i="8" s="1"/>
  <c r="AF30" i="8" a="1"/>
  <c r="AF30" i="8" s="1"/>
  <c r="AE30" i="8" a="1"/>
  <c r="AE30" i="8" s="1"/>
  <c r="AD30" i="8" a="1"/>
  <c r="AD30" i="8" s="1"/>
  <c r="AC110" i="8"/>
  <c r="AB110" i="8"/>
  <c r="AA110" i="8"/>
  <c r="Z110" i="8"/>
  <c r="Y110" i="8"/>
  <c r="X110" i="8"/>
  <c r="W110" i="8"/>
  <c r="AC109" i="8"/>
  <c r="AB109" i="8"/>
  <c r="AA109" i="8"/>
  <c r="Z109" i="8"/>
  <c r="Y109" i="8"/>
  <c r="X109" i="8"/>
  <c r="W109" i="8"/>
  <c r="AC108" i="8"/>
  <c r="AB108" i="8"/>
  <c r="AA108" i="8"/>
  <c r="Z108" i="8"/>
  <c r="Y108" i="8"/>
  <c r="X108" i="8"/>
  <c r="W108" i="8"/>
  <c r="AC107" i="8"/>
  <c r="AB107" i="8"/>
  <c r="AA107" i="8"/>
  <c r="Z107" i="8"/>
  <c r="Y107" i="8"/>
  <c r="X107" i="8"/>
  <c r="W107" i="8"/>
  <c r="AC106" i="8"/>
  <c r="AB106" i="8"/>
  <c r="AA106" i="8"/>
  <c r="Z106" i="8"/>
  <c r="Y106" i="8"/>
  <c r="X106" i="8"/>
  <c r="W106" i="8"/>
  <c r="AC105" i="8"/>
  <c r="AB105" i="8"/>
  <c r="AA105" i="8"/>
  <c r="Z105" i="8"/>
  <c r="Y105" i="8"/>
  <c r="X105" i="8"/>
  <c r="W105" i="8"/>
  <c r="AC104" i="8"/>
  <c r="AB104" i="8"/>
  <c r="AA104" i="8"/>
  <c r="Z104" i="8"/>
  <c r="Y104" i="8"/>
  <c r="X104" i="8"/>
  <c r="W104" i="8"/>
  <c r="AC103" i="8"/>
  <c r="AB103" i="8"/>
  <c r="AA103" i="8"/>
  <c r="Z103" i="8"/>
  <c r="Y103" i="8"/>
  <c r="X103" i="8"/>
  <c r="W103" i="8"/>
  <c r="AC102" i="8"/>
  <c r="AB102" i="8"/>
  <c r="AA102" i="8"/>
  <c r="Z102" i="8"/>
  <c r="Y102" i="8"/>
  <c r="X102" i="8"/>
  <c r="W102" i="8"/>
  <c r="AC101" i="8"/>
  <c r="AB101" i="8"/>
  <c r="AA101" i="8"/>
  <c r="Z101" i="8"/>
  <c r="Y101" i="8"/>
  <c r="X101" i="8"/>
  <c r="W101" i="8"/>
  <c r="AC100" i="8"/>
  <c r="AB100" i="8"/>
  <c r="AA100" i="8"/>
  <c r="Z100" i="8"/>
  <c r="Y100" i="8"/>
  <c r="X100" i="8"/>
  <c r="W100" i="8"/>
  <c r="AC99" i="8"/>
  <c r="AB99" i="8"/>
  <c r="AA99" i="8"/>
  <c r="Z99" i="8"/>
  <c r="Y99" i="8"/>
  <c r="X99" i="8"/>
  <c r="W99" i="8"/>
  <c r="AC98" i="8"/>
  <c r="AB98" i="8"/>
  <c r="AA98" i="8"/>
  <c r="Z98" i="8"/>
  <c r="Y98" i="8"/>
  <c r="X98" i="8"/>
  <c r="W98" i="8"/>
  <c r="AC97" i="8"/>
  <c r="AB97" i="8"/>
  <c r="AA97" i="8"/>
  <c r="Z97" i="8"/>
  <c r="Y97" i="8"/>
  <c r="X97" i="8"/>
  <c r="W97" i="8"/>
  <c r="AC96" i="8"/>
  <c r="AB96" i="8"/>
  <c r="AA96" i="8"/>
  <c r="Z96" i="8"/>
  <c r="Y96" i="8"/>
  <c r="X96" i="8"/>
  <c r="W96" i="8"/>
  <c r="AC95" i="8"/>
  <c r="AB95" i="8"/>
  <c r="AA95" i="8"/>
  <c r="Z95" i="8"/>
  <c r="Y95" i="8"/>
  <c r="X95" i="8"/>
  <c r="W95" i="8"/>
  <c r="AC94" i="8"/>
  <c r="AB94" i="8"/>
  <c r="AA94" i="8"/>
  <c r="Z94" i="8"/>
  <c r="Y94" i="8"/>
  <c r="X94" i="8"/>
  <c r="W94" i="8"/>
  <c r="AC93" i="8"/>
  <c r="AB93" i="8"/>
  <c r="AA93" i="8"/>
  <c r="Z93" i="8"/>
  <c r="Y93" i="8"/>
  <c r="X93" i="8"/>
  <c r="W93" i="8"/>
  <c r="AC92" i="8"/>
  <c r="AB92" i="8"/>
  <c r="AA92" i="8"/>
  <c r="Z92" i="8"/>
  <c r="Y92" i="8"/>
  <c r="X92" i="8"/>
  <c r="W92" i="8"/>
  <c r="AC91" i="8"/>
  <c r="AB91" i="8"/>
  <c r="AA91" i="8"/>
  <c r="Z91" i="8"/>
  <c r="Y91" i="8"/>
  <c r="X91" i="8"/>
  <c r="W91" i="8"/>
  <c r="AC90" i="8"/>
  <c r="AB90" i="8"/>
  <c r="AA90" i="8"/>
  <c r="Z90" i="8"/>
  <c r="Y90" i="8"/>
  <c r="X90" i="8"/>
  <c r="W90" i="8"/>
  <c r="AC89" i="8"/>
  <c r="AB89" i="8"/>
  <c r="AA89" i="8"/>
  <c r="Z89" i="8"/>
  <c r="Y89" i="8"/>
  <c r="X89" i="8"/>
  <c r="W89" i="8"/>
  <c r="AC88" i="8"/>
  <c r="AB88" i="8"/>
  <c r="AA88" i="8"/>
  <c r="Z88" i="8"/>
  <c r="Y88" i="8"/>
  <c r="X88" i="8"/>
  <c r="W88" i="8"/>
  <c r="AC87" i="8"/>
  <c r="AB87" i="8"/>
  <c r="AA87" i="8"/>
  <c r="Z87" i="8"/>
  <c r="Y87" i="8"/>
  <c r="X87" i="8"/>
  <c r="W87" i="8"/>
  <c r="AC86" i="8"/>
  <c r="AB86" i="8"/>
  <c r="AA86" i="8"/>
  <c r="Z86" i="8"/>
  <c r="Y86" i="8"/>
  <c r="X86" i="8"/>
  <c r="W86" i="8"/>
  <c r="AC85" i="8"/>
  <c r="AB85" i="8"/>
  <c r="AA85" i="8"/>
  <c r="Z85" i="8"/>
  <c r="Y85" i="8"/>
  <c r="X85" i="8"/>
  <c r="W85" i="8"/>
  <c r="AC84" i="8"/>
  <c r="AB84" i="8"/>
  <c r="AA84" i="8"/>
  <c r="Z84" i="8"/>
  <c r="Y84" i="8"/>
  <c r="X84" i="8"/>
  <c r="W84" i="8"/>
  <c r="AC83" i="8"/>
  <c r="AB83" i="8"/>
  <c r="AA83" i="8"/>
  <c r="Z83" i="8"/>
  <c r="Y83" i="8"/>
  <c r="X83" i="8"/>
  <c r="W83" i="8"/>
  <c r="AC82" i="8"/>
  <c r="AB82" i="8"/>
  <c r="AA82" i="8"/>
  <c r="Z82" i="8"/>
  <c r="Y82" i="8"/>
  <c r="X82" i="8"/>
  <c r="W82" i="8"/>
  <c r="AC81" i="8"/>
  <c r="AB81" i="8"/>
  <c r="AA81" i="8"/>
  <c r="Z81" i="8"/>
  <c r="Y81" i="8"/>
  <c r="X81" i="8"/>
  <c r="W81" i="8"/>
  <c r="AC80" i="8"/>
  <c r="AB80" i="8"/>
  <c r="AA80" i="8"/>
  <c r="Z80" i="8"/>
  <c r="Y80" i="8"/>
  <c r="X80" i="8"/>
  <c r="W80" i="8"/>
  <c r="AC79" i="8"/>
  <c r="AB79" i="8"/>
  <c r="AA79" i="8"/>
  <c r="Z79" i="8"/>
  <c r="Y79" i="8"/>
  <c r="X79" i="8"/>
  <c r="W79" i="8"/>
  <c r="AC78" i="8"/>
  <c r="AB78" i="8"/>
  <c r="AA78" i="8"/>
  <c r="Z78" i="8"/>
  <c r="Y78" i="8"/>
  <c r="X78" i="8"/>
  <c r="W78" i="8"/>
  <c r="AC77" i="8"/>
  <c r="AB77" i="8"/>
  <c r="AA77" i="8"/>
  <c r="Z77" i="8"/>
  <c r="Y77" i="8"/>
  <c r="X77" i="8"/>
  <c r="W77" i="8"/>
  <c r="AC76" i="8"/>
  <c r="AB76" i="8"/>
  <c r="AA76" i="8"/>
  <c r="Z76" i="8"/>
  <c r="Y76" i="8"/>
  <c r="X76" i="8"/>
  <c r="W76" i="8"/>
  <c r="AC75" i="8"/>
  <c r="AB75" i="8"/>
  <c r="AA75" i="8"/>
  <c r="Z75" i="8"/>
  <c r="Y75" i="8"/>
  <c r="X75" i="8"/>
  <c r="W75" i="8"/>
  <c r="AC74" i="8"/>
  <c r="AB74" i="8"/>
  <c r="AA74" i="8"/>
  <c r="Z74" i="8"/>
  <c r="Y74" i="8"/>
  <c r="X74" i="8"/>
  <c r="W74" i="8"/>
  <c r="AC73" i="8"/>
  <c r="AB73" i="8"/>
  <c r="AA73" i="8"/>
  <c r="Z73" i="8"/>
  <c r="Y73" i="8"/>
  <c r="X73" i="8"/>
  <c r="W73" i="8"/>
  <c r="AC72" i="8"/>
  <c r="AB72" i="8"/>
  <c r="AA72" i="8"/>
  <c r="Z72" i="8"/>
  <c r="Y72" i="8"/>
  <c r="X72" i="8"/>
  <c r="W72" i="8"/>
  <c r="AC71" i="8"/>
  <c r="AB71" i="8"/>
  <c r="AA71" i="8"/>
  <c r="Z71" i="8"/>
  <c r="Y71" i="8"/>
  <c r="X71" i="8"/>
  <c r="W71" i="8"/>
  <c r="AC70" i="8"/>
  <c r="AB70" i="8"/>
  <c r="AA70" i="8"/>
  <c r="Z70" i="8"/>
  <c r="Y70" i="8"/>
  <c r="X70" i="8"/>
  <c r="W70" i="8"/>
  <c r="AC69" i="8"/>
  <c r="AB69" i="8"/>
  <c r="AA69" i="8"/>
  <c r="Z69" i="8"/>
  <c r="Y69" i="8"/>
  <c r="X69" i="8"/>
  <c r="W69" i="8"/>
  <c r="AC68" i="8"/>
  <c r="AB68" i="8"/>
  <c r="AA68" i="8"/>
  <c r="Z68" i="8"/>
  <c r="Y68" i="8"/>
  <c r="X68" i="8"/>
  <c r="W68" i="8"/>
  <c r="AC67" i="8"/>
  <c r="AB67" i="8"/>
  <c r="AA67" i="8"/>
  <c r="Z67" i="8"/>
  <c r="Y67" i="8"/>
  <c r="X67" i="8"/>
  <c r="W67" i="8"/>
  <c r="AC66" i="8"/>
  <c r="AB66" i="8"/>
  <c r="AA66" i="8"/>
  <c r="Z66" i="8"/>
  <c r="Y66" i="8"/>
  <c r="X66" i="8"/>
  <c r="W66" i="8"/>
  <c r="AC65" i="8"/>
  <c r="AB65" i="8"/>
  <c r="AA65" i="8"/>
  <c r="Z65" i="8"/>
  <c r="Y65" i="8"/>
  <c r="X65" i="8"/>
  <c r="W65" i="8"/>
  <c r="AC64" i="8"/>
  <c r="AB64" i="8"/>
  <c r="AA64" i="8"/>
  <c r="Z64" i="8"/>
  <c r="Y64" i="8"/>
  <c r="X64" i="8"/>
  <c r="W64" i="8"/>
  <c r="AC63" i="8"/>
  <c r="AB63" i="8"/>
  <c r="AA63" i="8"/>
  <c r="Z63" i="8"/>
  <c r="Y63" i="8"/>
  <c r="X63" i="8"/>
  <c r="W63" i="8"/>
  <c r="AC62" i="8"/>
  <c r="AB62" i="8"/>
  <c r="AA62" i="8"/>
  <c r="Z62" i="8"/>
  <c r="Y62" i="8"/>
  <c r="X62" i="8"/>
  <c r="W62" i="8"/>
  <c r="AC61" i="8"/>
  <c r="AB61" i="8"/>
  <c r="AA61" i="8"/>
  <c r="Z61" i="8"/>
  <c r="Y61" i="8"/>
  <c r="X61" i="8"/>
  <c r="W61" i="8"/>
  <c r="AC60" i="8"/>
  <c r="AB60" i="8"/>
  <c r="AA60" i="8"/>
  <c r="Z60" i="8"/>
  <c r="Y60" i="8"/>
  <c r="X60" i="8"/>
  <c r="W60" i="8"/>
  <c r="AC59" i="8"/>
  <c r="AB59" i="8"/>
  <c r="AA59" i="8"/>
  <c r="Z59" i="8"/>
  <c r="Y59" i="8"/>
  <c r="X59" i="8"/>
  <c r="W59" i="8"/>
  <c r="AC58" i="8"/>
  <c r="AB58" i="8"/>
  <c r="AA58" i="8"/>
  <c r="Z58" i="8"/>
  <c r="Y58" i="8"/>
  <c r="X58" i="8"/>
  <c r="W58" i="8"/>
  <c r="AC57" i="8"/>
  <c r="AB57" i="8"/>
  <c r="AA57" i="8"/>
  <c r="Z57" i="8"/>
  <c r="Y57" i="8"/>
  <c r="X57" i="8"/>
  <c r="W57" i="8"/>
  <c r="AC56" i="8"/>
  <c r="AB56" i="8"/>
  <c r="AA56" i="8"/>
  <c r="Z56" i="8"/>
  <c r="Y56" i="8"/>
  <c r="X56" i="8"/>
  <c r="W56" i="8"/>
  <c r="AC55" i="8"/>
  <c r="AB55" i="8"/>
  <c r="AA55" i="8"/>
  <c r="Z55" i="8"/>
  <c r="Y55" i="8"/>
  <c r="X55" i="8"/>
  <c r="W55" i="8"/>
  <c r="AC54" i="8"/>
  <c r="AB54" i="8"/>
  <c r="AA54" i="8"/>
  <c r="Z54" i="8"/>
  <c r="Y54" i="8"/>
  <c r="X54" i="8"/>
  <c r="W54" i="8"/>
  <c r="AC53" i="8"/>
  <c r="AB53" i="8"/>
  <c r="AA53" i="8"/>
  <c r="Z53" i="8"/>
  <c r="Y53" i="8"/>
  <c r="X53" i="8"/>
  <c r="W53" i="8"/>
  <c r="AC52" i="8"/>
  <c r="AB52" i="8"/>
  <c r="AA52" i="8"/>
  <c r="Z52" i="8"/>
  <c r="Y52" i="8"/>
  <c r="X52" i="8"/>
  <c r="W52" i="8"/>
  <c r="AC51" i="8"/>
  <c r="AB51" i="8"/>
  <c r="AA51" i="8"/>
  <c r="Z51" i="8"/>
  <c r="Y51" i="8"/>
  <c r="X51" i="8"/>
  <c r="W51" i="8"/>
  <c r="AC50" i="8"/>
  <c r="AB50" i="8"/>
  <c r="AA50" i="8"/>
  <c r="Z50" i="8"/>
  <c r="Y50" i="8"/>
  <c r="X50" i="8"/>
  <c r="W50" i="8"/>
  <c r="AC49" i="8"/>
  <c r="AB49" i="8"/>
  <c r="AA49" i="8"/>
  <c r="Z49" i="8"/>
  <c r="Y49" i="8"/>
  <c r="X49" i="8"/>
  <c r="W49" i="8"/>
  <c r="AC48" i="8"/>
  <c r="AB48" i="8"/>
  <c r="AA48" i="8"/>
  <c r="Z48" i="8"/>
  <c r="Y48" i="8"/>
  <c r="X48" i="8"/>
  <c r="W48" i="8"/>
  <c r="AC47" i="8"/>
  <c r="AB47" i="8"/>
  <c r="AA47" i="8"/>
  <c r="Z47" i="8"/>
  <c r="Y47" i="8"/>
  <c r="X47" i="8"/>
  <c r="W47" i="8"/>
  <c r="AC46" i="8"/>
  <c r="AB46" i="8"/>
  <c r="AA46" i="8"/>
  <c r="Z46" i="8"/>
  <c r="Y46" i="8"/>
  <c r="X46" i="8"/>
  <c r="W46" i="8"/>
  <c r="AC45" i="8"/>
  <c r="AB45" i="8"/>
  <c r="AA45" i="8"/>
  <c r="Z45" i="8"/>
  <c r="Y45" i="8"/>
  <c r="X45" i="8"/>
  <c r="W45" i="8"/>
  <c r="AC44" i="8"/>
  <c r="AB44" i="8"/>
  <c r="AA44" i="8"/>
  <c r="Z44" i="8"/>
  <c r="Y44" i="8"/>
  <c r="X44" i="8"/>
  <c r="W44" i="8"/>
  <c r="AC43" i="8"/>
  <c r="AB43" i="8"/>
  <c r="AA43" i="8"/>
  <c r="Z43" i="8"/>
  <c r="Y43" i="8"/>
  <c r="X43" i="8"/>
  <c r="W43" i="8"/>
  <c r="AC42" i="8"/>
  <c r="AB42" i="8"/>
  <c r="AA42" i="8"/>
  <c r="Z42" i="8"/>
  <c r="Y42" i="8"/>
  <c r="X42" i="8"/>
  <c r="W42" i="8"/>
  <c r="AC41" i="8"/>
  <c r="AB41" i="8"/>
  <c r="AA41" i="8"/>
  <c r="Z41" i="8"/>
  <c r="Y41" i="8"/>
  <c r="X41" i="8"/>
  <c r="W41" i="8"/>
  <c r="AC40" i="8"/>
  <c r="AB40" i="8"/>
  <c r="AA40" i="8"/>
  <c r="Z40" i="8"/>
  <c r="Y40" i="8"/>
  <c r="X40" i="8"/>
  <c r="W40" i="8"/>
  <c r="AC39" i="8"/>
  <c r="AB39" i="8"/>
  <c r="AA39" i="8"/>
  <c r="Z39" i="8"/>
  <c r="Y39" i="8"/>
  <c r="X39" i="8"/>
  <c r="W39" i="8"/>
  <c r="AC38" i="8"/>
  <c r="AB38" i="8"/>
  <c r="AA38" i="8"/>
  <c r="Z38" i="8"/>
  <c r="Y38" i="8"/>
  <c r="X38" i="8"/>
  <c r="W38" i="8"/>
  <c r="AC37" i="8"/>
  <c r="AB37" i="8"/>
  <c r="AA37" i="8"/>
  <c r="Z37" i="8"/>
  <c r="Y37" i="8"/>
  <c r="X37" i="8"/>
  <c r="W37" i="8"/>
  <c r="AC36" i="8"/>
  <c r="AB36" i="8"/>
  <c r="AA36" i="8"/>
  <c r="Z36" i="8"/>
  <c r="Y36" i="8"/>
  <c r="X36" i="8"/>
  <c r="W36" i="8"/>
  <c r="AC35" i="8"/>
  <c r="AB35" i="8"/>
  <c r="AA35" i="8"/>
  <c r="Z35" i="8"/>
  <c r="Y35" i="8"/>
  <c r="X35" i="8"/>
  <c r="W35" i="8"/>
  <c r="AC34" i="8"/>
  <c r="AB34" i="8"/>
  <c r="AA34" i="8"/>
  <c r="Z34" i="8"/>
  <c r="Y34" i="8"/>
  <c r="X34" i="8"/>
  <c r="W34" i="8"/>
  <c r="AC33" i="8"/>
  <c r="AB33" i="8"/>
  <c r="AA33" i="8"/>
  <c r="Z33" i="8"/>
  <c r="Y33" i="8"/>
  <c r="X33" i="8"/>
  <c r="W33" i="8"/>
  <c r="AC32" i="8"/>
  <c r="AB32" i="8"/>
  <c r="AA32" i="8"/>
  <c r="Z32" i="8"/>
  <c r="Y32" i="8"/>
  <c r="X32" i="8"/>
  <c r="W32" i="8"/>
  <c r="AC31" i="8"/>
  <c r="AB31" i="8"/>
  <c r="AA31" i="8"/>
  <c r="Z31" i="8"/>
  <c r="Y31" i="8"/>
  <c r="X31" i="8"/>
  <c r="W31" i="8"/>
  <c r="AC30" i="8"/>
  <c r="AB30" i="8"/>
  <c r="AA30" i="8"/>
  <c r="Z30" i="8"/>
  <c r="Y30" i="8"/>
  <c r="X30" i="8"/>
  <c r="W30" i="8"/>
  <c r="AC29" i="8"/>
  <c r="AB29" i="8"/>
  <c r="AA29" i="8"/>
  <c r="Z29" i="8"/>
  <c r="Y29" i="8"/>
  <c r="X29" i="8"/>
  <c r="W29" i="8"/>
  <c r="AC28" i="8"/>
  <c r="AB28" i="8"/>
  <c r="AA28" i="8"/>
  <c r="Z28" i="8"/>
  <c r="Y28" i="8"/>
  <c r="X28" i="8"/>
  <c r="W28" i="8"/>
  <c r="AC27" i="8"/>
  <c r="AB27" i="8"/>
  <c r="AA27" i="8"/>
  <c r="Z27" i="8"/>
  <c r="Y27" i="8"/>
  <c r="X27" i="8"/>
  <c r="W27" i="8"/>
  <c r="AC26" i="8"/>
  <c r="AB26" i="8"/>
  <c r="AA26" i="8"/>
  <c r="Z26" i="8"/>
  <c r="Y26" i="8"/>
  <c r="X26" i="8"/>
  <c r="W26" i="8"/>
  <c r="AC25" i="8"/>
  <c r="AB25" i="8"/>
  <c r="AA25" i="8"/>
  <c r="Z25" i="8"/>
  <c r="Y25" i="8"/>
  <c r="X25" i="8"/>
  <c r="W25" i="8"/>
  <c r="AC24" i="8"/>
  <c r="AB24" i="8"/>
  <c r="AA24" i="8"/>
  <c r="Z24" i="8"/>
  <c r="Y24" i="8"/>
  <c r="X24" i="8"/>
  <c r="W24" i="8"/>
  <c r="AC23" i="8"/>
  <c r="AB23" i="8"/>
  <c r="AA23" i="8"/>
  <c r="Z23" i="8"/>
  <c r="Y23" i="8"/>
  <c r="X23" i="8"/>
  <c r="W23" i="8"/>
  <c r="AC22" i="8"/>
  <c r="AB22" i="8"/>
  <c r="AA22" i="8"/>
  <c r="Z22" i="8"/>
  <c r="Y22" i="8"/>
  <c r="X22" i="8"/>
  <c r="W22" i="8"/>
  <c r="AC21" i="8"/>
  <c r="AB21" i="8"/>
  <c r="AA21" i="8"/>
  <c r="Z21" i="8"/>
  <c r="Y21" i="8"/>
  <c r="X21" i="8"/>
  <c r="W21" i="8"/>
  <c r="AC20" i="8"/>
  <c r="AB20" i="8"/>
  <c r="AA20" i="8"/>
  <c r="Z20" i="8"/>
  <c r="Y20" i="8"/>
  <c r="X20" i="8"/>
  <c r="W20" i="8"/>
  <c r="Y23" i="18"/>
  <c r="Z23" i="18" s="1"/>
  <c r="AA23" i="18" s="1"/>
  <c r="AB23" i="18" s="1"/>
  <c r="AC23" i="18" s="1"/>
  <c r="X23" i="18"/>
  <c r="W272" i="20"/>
  <c r="AP27" i="20" s="1"/>
  <c r="V272" i="20"/>
  <c r="AO27" i="20" s="1"/>
  <c r="U272" i="20"/>
  <c r="T272" i="20"/>
  <c r="AN27" i="20" s="1"/>
  <c r="S272" i="20"/>
  <c r="R272" i="20"/>
  <c r="AM27" i="20" s="1"/>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D108" i="20" s="1"/>
  <c r="AQ107" i="20"/>
  <c r="Q107" i="20"/>
  <c r="AC107" i="20" s="1"/>
  <c r="AD107" i="20" s="1"/>
  <c r="AQ106" i="20"/>
  <c r="Q106" i="20"/>
  <c r="AC106" i="20" s="1"/>
  <c r="AQ105" i="20"/>
  <c r="Q105" i="20"/>
  <c r="AC105" i="20" s="1"/>
  <c r="AQ104" i="20"/>
  <c r="Q104" i="20"/>
  <c r="AC104" i="20" s="1"/>
  <c r="AD104" i="20" s="1"/>
  <c r="AQ103" i="20"/>
  <c r="Q103" i="20"/>
  <c r="AC103" i="20" s="1"/>
  <c r="AQ102" i="20"/>
  <c r="Q102" i="20"/>
  <c r="AC102" i="20" s="1"/>
  <c r="AQ101" i="20"/>
  <c r="Q101" i="20"/>
  <c r="AC101" i="20" s="1"/>
  <c r="H101" i="20"/>
  <c r="G101" i="20"/>
  <c r="AQ100" i="20"/>
  <c r="Q100" i="20"/>
  <c r="AC100" i="20" s="1"/>
  <c r="AD100" i="20" s="1"/>
  <c r="H100" i="20"/>
  <c r="G100" i="20"/>
  <c r="AQ99" i="20"/>
  <c r="Q99" i="20"/>
  <c r="AC99" i="20" s="1"/>
  <c r="AD99" i="20" s="1"/>
  <c r="H99" i="20"/>
  <c r="G99" i="20"/>
  <c r="AQ98" i="20"/>
  <c r="Q98" i="20"/>
  <c r="AC98" i="20" s="1"/>
  <c r="H98" i="20"/>
  <c r="H102" i="20" s="1"/>
  <c r="G98" i="20"/>
  <c r="G102" i="20" s="1"/>
  <c r="AQ97" i="20"/>
  <c r="Q97" i="20"/>
  <c r="AC97" i="20" s="1"/>
  <c r="AQ96" i="20"/>
  <c r="Q96" i="20"/>
  <c r="AC96" i="20" s="1"/>
  <c r="AD96" i="20" s="1"/>
  <c r="AQ95" i="20"/>
  <c r="Q95" i="20"/>
  <c r="AC95" i="20" s="1"/>
  <c r="AD95" i="20" s="1"/>
  <c r="AQ94" i="20"/>
  <c r="Q94" i="20"/>
  <c r="AC94" i="20" s="1"/>
  <c r="AQ93" i="20"/>
  <c r="Q93" i="20"/>
  <c r="AC93" i="20" s="1"/>
  <c r="AQ92" i="20"/>
  <c r="Q92" i="20"/>
  <c r="AC92" i="20" s="1"/>
  <c r="AD92" i="20" s="1"/>
  <c r="AQ91" i="20"/>
  <c r="Q91" i="20"/>
  <c r="AC91" i="20" s="1"/>
  <c r="AD91" i="20" s="1"/>
  <c r="AQ90" i="20"/>
  <c r="Q90" i="20"/>
  <c r="AC90" i="20" s="1"/>
  <c r="AQ89" i="20"/>
  <c r="Q89" i="20"/>
  <c r="AC89" i="20" s="1"/>
  <c r="AQ88" i="20"/>
  <c r="Q88" i="20"/>
  <c r="AC88" i="20" s="1"/>
  <c r="AD88" i="20" s="1"/>
  <c r="AQ87" i="20"/>
  <c r="Q87" i="20"/>
  <c r="AC87" i="20" s="1"/>
  <c r="AD87" i="20" s="1"/>
  <c r="AQ86" i="20"/>
  <c r="Q86" i="20"/>
  <c r="AC86" i="20" s="1"/>
  <c r="AQ85" i="20"/>
  <c r="Q85" i="20"/>
  <c r="AC85" i="20" s="1"/>
  <c r="AQ84" i="20"/>
  <c r="Q84" i="20"/>
  <c r="AC84" i="20" s="1"/>
  <c r="AQ83" i="20"/>
  <c r="Q83" i="20"/>
  <c r="AC83" i="20" s="1"/>
  <c r="AD83" i="20" s="1"/>
  <c r="AQ82" i="20"/>
  <c r="Q82" i="20"/>
  <c r="AC82" i="20" s="1"/>
  <c r="AD82" i="20" s="1"/>
  <c r="AQ81" i="20"/>
  <c r="Q81" i="20"/>
  <c r="AC81" i="20" s="1"/>
  <c r="AQ80" i="20"/>
  <c r="Q80" i="20"/>
  <c r="AC80" i="20" s="1"/>
  <c r="AQ79" i="20"/>
  <c r="Q79" i="20"/>
  <c r="AC79" i="20" s="1"/>
  <c r="AQ78" i="20"/>
  <c r="Q78" i="20"/>
  <c r="AC78" i="20" s="1"/>
  <c r="AD78" i="20" s="1"/>
  <c r="AQ77" i="20"/>
  <c r="Q77" i="20"/>
  <c r="AC77" i="20" s="1"/>
  <c r="AD77" i="20" s="1"/>
  <c r="AQ76" i="20"/>
  <c r="Q76" i="20"/>
  <c r="AC76" i="20" s="1"/>
  <c r="B76" i="20"/>
  <c r="AQ75" i="20"/>
  <c r="Q75" i="20"/>
  <c r="AC75" i="20" s="1"/>
  <c r="C75" i="20"/>
  <c r="AQ74" i="20"/>
  <c r="Q74" i="20"/>
  <c r="AC74" i="20" s="1"/>
  <c r="C74" i="20"/>
  <c r="AQ73" i="20"/>
  <c r="Q73" i="20"/>
  <c r="AC73" i="20" s="1"/>
  <c r="AD73" i="20" s="1"/>
  <c r="C73" i="20"/>
  <c r="AQ72" i="20"/>
  <c r="Q72" i="20"/>
  <c r="AC72" i="20" s="1"/>
  <c r="AD72" i="20" s="1"/>
  <c r="C72" i="20"/>
  <c r="AQ71" i="20"/>
  <c r="Q71" i="20"/>
  <c r="AC71" i="20" s="1"/>
  <c r="AD71" i="20" s="1"/>
  <c r="C71" i="20"/>
  <c r="AQ70" i="20"/>
  <c r="Q70" i="20"/>
  <c r="AC70" i="20" s="1"/>
  <c r="C70" i="20"/>
  <c r="AQ69" i="20"/>
  <c r="Q69" i="20"/>
  <c r="AC69" i="20" s="1"/>
  <c r="C69" i="20"/>
  <c r="AQ68" i="20"/>
  <c r="Q68" i="20"/>
  <c r="AC68" i="20" s="1"/>
  <c r="C68" i="20"/>
  <c r="AQ67" i="20"/>
  <c r="Q67" i="20"/>
  <c r="AC67" i="20" s="1"/>
  <c r="C67" i="20"/>
  <c r="AQ66" i="20"/>
  <c r="Q66" i="20"/>
  <c r="AC66" i="20" s="1"/>
  <c r="AD66" i="20" s="1"/>
  <c r="C66" i="20"/>
  <c r="AZ65" i="20"/>
  <c r="AQ65" i="20"/>
  <c r="Q65" i="20"/>
  <c r="AC65" i="20" s="1"/>
  <c r="C65" i="20"/>
  <c r="AZ64" i="20"/>
  <c r="AQ64" i="20"/>
  <c r="Q64" i="20"/>
  <c r="AC64" i="20" s="1"/>
  <c r="AD64" i="20" s="1"/>
  <c r="C64" i="20"/>
  <c r="C76" i="20" s="1"/>
  <c r="AQ63" i="20"/>
  <c r="Q63" i="20"/>
  <c r="AC63" i="20" s="1"/>
  <c r="AD63" i="20" s="1"/>
  <c r="AQ62" i="20"/>
  <c r="Q62" i="20"/>
  <c r="AC62" i="20" s="1"/>
  <c r="AQ61" i="20"/>
  <c r="Q61" i="20"/>
  <c r="AC61" i="20" s="1"/>
  <c r="AQ60" i="20"/>
  <c r="Q60" i="20"/>
  <c r="AC60" i="20" s="1"/>
  <c r="AQ59" i="20"/>
  <c r="Q59" i="20"/>
  <c r="AC59" i="20" s="1"/>
  <c r="AQ58" i="20"/>
  <c r="Q58" i="20"/>
  <c r="AC58" i="20" s="1"/>
  <c r="L58" i="20"/>
  <c r="D58" i="20"/>
  <c r="AQ57" i="20"/>
  <c r="Q57" i="20"/>
  <c r="AC57" i="20" s="1"/>
  <c r="AD57" i="20" s="1"/>
  <c r="AQ56" i="20"/>
  <c r="Q56" i="20"/>
  <c r="AC56" i="20" s="1"/>
  <c r="AQ55" i="20"/>
  <c r="Q55" i="20"/>
  <c r="AC55" i="20" s="1"/>
  <c r="AQ54" i="20"/>
  <c r="Q54" i="20"/>
  <c r="AC54" i="20" s="1"/>
  <c r="AQ53" i="20"/>
  <c r="Q53" i="20"/>
  <c r="AC53" i="20" s="1"/>
  <c r="AQ52" i="20"/>
  <c r="Q52" i="20"/>
  <c r="AC52" i="20" s="1"/>
  <c r="AD52" i="20" s="1"/>
  <c r="AQ51" i="20"/>
  <c r="Q51" i="20"/>
  <c r="AC51" i="20" s="1"/>
  <c r="AD51" i="20" s="1"/>
  <c r="AQ50" i="20"/>
  <c r="Q50" i="20"/>
  <c r="AC50" i="20" s="1"/>
  <c r="AQ49" i="20"/>
  <c r="Q49" i="20"/>
  <c r="AC49" i="20" s="1"/>
  <c r="AQ48" i="20"/>
  <c r="Q48" i="20"/>
  <c r="AC48" i="20" s="1"/>
  <c r="AQ47" i="20"/>
  <c r="Q47" i="20"/>
  <c r="AC47" i="20" s="1"/>
  <c r="AD47" i="20" s="1"/>
  <c r="AQ46" i="20"/>
  <c r="Q46" i="20"/>
  <c r="AC46" i="20" s="1"/>
  <c r="AD46" i="20" s="1"/>
  <c r="AQ45" i="20"/>
  <c r="Q45" i="20"/>
  <c r="AC45" i="20" s="1"/>
  <c r="AQ44" i="20"/>
  <c r="Q44" i="20"/>
  <c r="AC44" i="20" s="1"/>
  <c r="AQ43" i="20"/>
  <c r="Q43" i="20"/>
  <c r="AC43" i="20" s="1"/>
  <c r="AQ42" i="20"/>
  <c r="Q42" i="20"/>
  <c r="AC42" i="20" s="1"/>
  <c r="AD42" i="20" s="1"/>
  <c r="AQ41" i="20"/>
  <c r="Q41" i="20"/>
  <c r="AC41" i="20" s="1"/>
  <c r="AQ40" i="20"/>
  <c r="Q40" i="20"/>
  <c r="AC40" i="20" s="1"/>
  <c r="AD40" i="20" s="1"/>
  <c r="AQ39" i="20"/>
  <c r="Q39" i="20"/>
  <c r="AC39" i="20" s="1"/>
  <c r="AD39" i="20" s="1"/>
  <c r="AQ38" i="20"/>
  <c r="Q38" i="20"/>
  <c r="AC38" i="20" s="1"/>
  <c r="AQ37" i="20"/>
  <c r="Q37" i="20"/>
  <c r="AC37" i="20" s="1"/>
  <c r="AQ36" i="20"/>
  <c r="Q36" i="20"/>
  <c r="AC36" i="20" s="1"/>
  <c r="AD36" i="20" s="1"/>
  <c r="AQ35" i="20"/>
  <c r="Q35" i="20"/>
  <c r="AC35" i="20" s="1"/>
  <c r="AQ34" i="20"/>
  <c r="Q34" i="20"/>
  <c r="AC34" i="20" s="1"/>
  <c r="AD34" i="20" s="1"/>
  <c r="AQ33" i="20"/>
  <c r="Q33" i="20"/>
  <c r="AC33" i="20" s="1"/>
  <c r="AQ32" i="20"/>
  <c r="Q32" i="20"/>
  <c r="AC32" i="20" s="1"/>
  <c r="AQ31" i="20"/>
  <c r="Q31" i="20"/>
  <c r="AC31" i="20" s="1"/>
  <c r="AD31" i="20" s="1"/>
  <c r="AQ30" i="20"/>
  <c r="Q30" i="20"/>
  <c r="AC30" i="20" s="1"/>
  <c r="AD30" i="20" s="1"/>
  <c r="AQ29" i="20"/>
  <c r="Q29" i="20"/>
  <c r="AC29" i="20" s="1"/>
  <c r="AQ28" i="20"/>
  <c r="Q28" i="20"/>
  <c r="AC28" i="20" s="1"/>
  <c r="AQ27" i="20"/>
  <c r="AL27" i="20"/>
  <c r="AC27" i="20"/>
  <c r="AD27" i="20" s="1"/>
  <c r="Q27" i="20"/>
  <c r="AQ26" i="20"/>
  <c r="Q26" i="20"/>
  <c r="AC26" i="20" s="1"/>
  <c r="AQ25" i="20"/>
  <c r="Q25" i="20"/>
  <c r="AC25" i="20" s="1"/>
  <c r="AQ24" i="20"/>
  <c r="Q24" i="20"/>
  <c r="AC24" i="20" s="1"/>
  <c r="AQ23" i="20"/>
  <c r="Q23" i="20"/>
  <c r="AC23" i="20" s="1"/>
  <c r="AQ22" i="20"/>
  <c r="Q22" i="20"/>
  <c r="AC22" i="20" s="1"/>
  <c r="AD22" i="20" s="1"/>
  <c r="AQ21" i="20"/>
  <c r="Q21" i="20"/>
  <c r="AC21" i="20" s="1"/>
  <c r="AQ20" i="20"/>
  <c r="AD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K65" i="6"/>
  <c r="R59" i="6"/>
  <c r="Q59" i="6"/>
  <c r="P59" i="6"/>
  <c r="O59" i="6"/>
  <c r="N59" i="6"/>
  <c r="M59" i="6"/>
  <c r="L59" i="6"/>
  <c r="K59" i="6"/>
  <c r="R58" i="6"/>
  <c r="Q58" i="6"/>
  <c r="P58" i="6"/>
  <c r="O58" i="6"/>
  <c r="N58" i="6"/>
  <c r="M58" i="6"/>
  <c r="L58" i="6"/>
  <c r="K58" i="6"/>
  <c r="R57" i="6"/>
  <c r="Q57" i="6"/>
  <c r="P57" i="6"/>
  <c r="O57" i="6"/>
  <c r="N57" i="6"/>
  <c r="M57" i="6"/>
  <c r="L57" i="6"/>
  <c r="K57" i="6"/>
  <c r="R46" i="6"/>
  <c r="Q46" i="6"/>
  <c r="P46" i="6"/>
  <c r="O46" i="6"/>
  <c r="N46" i="6"/>
  <c r="M46" i="6"/>
  <c r="L46" i="6"/>
  <c r="K46" i="6"/>
  <c r="R45" i="6"/>
  <c r="Q45" i="6"/>
  <c r="P45" i="6"/>
  <c r="O45" i="6"/>
  <c r="N45" i="6"/>
  <c r="M45" i="6"/>
  <c r="L45" i="6"/>
  <c r="K45" i="6"/>
  <c r="R44" i="6"/>
  <c r="Q44" i="6"/>
  <c r="P44" i="6"/>
  <c r="O44" i="6"/>
  <c r="N44" i="6"/>
  <c r="M44" i="6"/>
  <c r="L44" i="6"/>
  <c r="K44" i="6"/>
  <c r="R29" i="6"/>
  <c r="Q29" i="6"/>
  <c r="P29" i="6"/>
  <c r="O29" i="6"/>
  <c r="N29" i="6"/>
  <c r="M29" i="6"/>
  <c r="L29" i="6"/>
  <c r="K29" i="6"/>
  <c r="R28" i="6"/>
  <c r="Q28" i="6"/>
  <c r="P28" i="6"/>
  <c r="O28" i="6"/>
  <c r="N28" i="6"/>
  <c r="M28" i="6"/>
  <c r="L28" i="6"/>
  <c r="K28" i="6"/>
  <c r="R27" i="6"/>
  <c r="Q27" i="6"/>
  <c r="P27" i="6"/>
  <c r="O27" i="6"/>
  <c r="N27" i="6"/>
  <c r="M27" i="6"/>
  <c r="L27" i="6"/>
  <c r="K27" i="6"/>
  <c r="R21" i="6"/>
  <c r="Q21" i="6"/>
  <c r="P21" i="6"/>
  <c r="O21" i="6"/>
  <c r="N21" i="6"/>
  <c r="M21" i="6"/>
  <c r="L21" i="6"/>
  <c r="K21" i="6"/>
  <c r="R20" i="6"/>
  <c r="Q20" i="6"/>
  <c r="P20" i="6"/>
  <c r="O20" i="6"/>
  <c r="N20" i="6"/>
  <c r="M20" i="6"/>
  <c r="L20" i="6"/>
  <c r="K20" i="6"/>
  <c r="R19" i="6"/>
  <c r="Q19" i="6"/>
  <c r="P19" i="6"/>
  <c r="O19" i="6"/>
  <c r="N19" i="6"/>
  <c r="M19" i="6"/>
  <c r="L19" i="6"/>
  <c r="K19" i="6"/>
  <c r="AE62" i="18"/>
  <c r="D24" i="18"/>
  <c r="BA64" i="20" a="1"/>
  <c r="BA65" i="20" a="1"/>
  <c r="BA65" i="20" l="1"/>
  <c r="BA64" i="20"/>
  <c r="AE63" i="20" a="1"/>
  <c r="AE63" i="20" s="1"/>
  <c r="AE57" i="20" a="1"/>
  <c r="AE57" i="20" s="1"/>
  <c r="AJ57" i="20" s="1"/>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5" i="20" a="1"/>
  <c r="V95" i="20" s="1"/>
  <c r="V91" i="20" a="1"/>
  <c r="V91" i="20" s="1"/>
  <c r="V90" i="20" a="1"/>
  <c r="V90" i="20" s="1"/>
  <c r="V89" i="20" a="1"/>
  <c r="V89" i="20" s="1"/>
  <c r="V88" i="20" a="1"/>
  <c r="V88" i="20" s="1"/>
  <c r="V87" i="20" a="1"/>
  <c r="V87" i="20" s="1"/>
  <c r="V82" i="20" a="1"/>
  <c r="V82" i="20" s="1"/>
  <c r="V77" i="20" a="1"/>
  <c r="V77" i="20" s="1"/>
  <c r="V71" i="20" a="1"/>
  <c r="V71"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46" i="20" a="1"/>
  <c r="V46" i="20" s="1"/>
  <c r="V39" i="20" a="1"/>
  <c r="V39" i="20" s="1"/>
  <c r="V30" i="20" a="1"/>
  <c r="V30" i="20" s="1"/>
  <c r="W18" i="20"/>
  <c r="AR30" i="20"/>
  <c r="AJ63" i="20"/>
  <c r="C82" i="20"/>
  <c r="C83" i="20" s="1"/>
  <c r="C84" i="20"/>
  <c r="D84" i="20" s="1"/>
  <c r="C85" i="20"/>
  <c r="D85" i="20" s="1"/>
  <c r="C86" i="20"/>
  <c r="D86" i="20" s="1"/>
  <c r="C87" i="20"/>
  <c r="D87" i="20" s="1"/>
  <c r="C88" i="20"/>
  <c r="D88" i="20" s="1"/>
  <c r="C89" i="20"/>
  <c r="D89" i="20" s="1"/>
  <c r="C90" i="20"/>
  <c r="D90" i="20" s="1"/>
  <c r="K271" i="20"/>
  <c r="J271" i="20"/>
  <c r="I271" i="20"/>
  <c r="C271" i="20"/>
  <c r="AR66" i="20" a="1"/>
  <c r="AR104" i="20" a="1"/>
  <c r="AR108" i="20" a="1"/>
  <c r="AR71" i="20" a="1"/>
  <c r="AR20" i="20" a="1"/>
  <c r="AR64" i="20" a="1"/>
  <c r="AR27" i="20" a="1"/>
  <c r="AR77" i="20" a="1"/>
  <c r="AR107" i="20" a="1"/>
  <c r="AR73" i="20" a="1"/>
  <c r="AR100" i="20" a="1"/>
  <c r="AR95" i="20" a="1"/>
  <c r="AR78" i="20" a="1"/>
  <c r="AR47" i="20" a="1"/>
  <c r="AR39" i="20" a="1"/>
  <c r="AR52" i="20" a="1"/>
  <c r="AR42" i="20" a="1"/>
  <c r="AR72" i="20" a="1"/>
  <c r="AR99" i="20" a="1"/>
  <c r="AR82" i="20" a="1"/>
  <c r="AR31" i="20" a="1"/>
  <c r="AR46" i="20" a="1"/>
  <c r="AR34" i="20" a="1"/>
  <c r="AR92" i="20" a="1"/>
  <c r="AR63" i="20" a="1"/>
  <c r="AR88" i="20" a="1"/>
  <c r="AR87" i="20" a="1"/>
  <c r="AR40" i="20" a="1"/>
  <c r="AR96" i="20" a="1"/>
  <c r="AR22" i="20" a="1"/>
  <c r="AR57" i="20" a="1"/>
  <c r="AR51" i="20" a="1"/>
  <c r="AR36" i="20" a="1"/>
  <c r="AR83" i="20" a="1"/>
  <c r="AR91" i="20" a="1"/>
  <c r="AR46" i="20" l="1"/>
  <c r="AR82" i="20"/>
  <c r="AR77" i="20"/>
  <c r="AR39" i="20"/>
  <c r="AR78" i="20"/>
  <c r="AR36" i="20"/>
  <c r="AR34" i="20"/>
  <c r="AR83" i="20"/>
  <c r="AR107" i="20"/>
  <c r="AR104" i="20"/>
  <c r="AR64" i="20"/>
  <c r="AR96" i="20"/>
  <c r="AR73" i="20"/>
  <c r="AR63" i="20"/>
  <c r="AR31" i="20"/>
  <c r="AR95" i="20"/>
  <c r="AR108" i="20"/>
  <c r="AR92" i="20"/>
  <c r="AR27" i="20"/>
  <c r="AR42" i="20"/>
  <c r="AR66" i="20"/>
  <c r="AR57" i="20"/>
  <c r="AR91" i="20"/>
  <c r="AR52" i="20"/>
  <c r="AR22" i="20"/>
  <c r="AR99" i="20"/>
  <c r="AR88" i="20"/>
  <c r="AR71" i="20"/>
  <c r="AR51" i="20"/>
  <c r="AR20" i="20"/>
  <c r="AR40" i="20"/>
  <c r="AR100" i="20"/>
  <c r="AR72" i="20"/>
  <c r="AR87" i="20"/>
  <c r="AR47" i="20"/>
  <c r="C91" i="20"/>
  <c r="D83" i="20"/>
  <c r="D91" i="20" s="1"/>
  <c r="D82"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5" i="20" a="1"/>
  <c r="W95" i="20" s="1"/>
  <c r="W91" i="20" a="1"/>
  <c r="W91" i="20" s="1"/>
  <c r="W90" i="20" a="1"/>
  <c r="W90" i="20" s="1"/>
  <c r="W89" i="20" a="1"/>
  <c r="W89" i="20" s="1"/>
  <c r="W88" i="20" a="1"/>
  <c r="W88" i="20" s="1"/>
  <c r="W87" i="20" a="1"/>
  <c r="W87" i="20" s="1"/>
  <c r="W82" i="20" a="1"/>
  <c r="W82" i="20" s="1"/>
  <c r="W77" i="20" a="1"/>
  <c r="W77" i="20" s="1"/>
  <c r="W71" i="20" a="1"/>
  <c r="W71"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46" i="20" a="1"/>
  <c r="W46" i="20" s="1"/>
  <c r="W39" i="20" a="1"/>
  <c r="W39" i="20" s="1"/>
  <c r="W30" i="20" a="1"/>
  <c r="W30" i="20" s="1"/>
  <c r="X18" i="20"/>
  <c r="AF12" i="20"/>
  <c r="AF2" i="20"/>
  <c r="AE108" i="20" a="1"/>
  <c r="AE108" i="20" s="1"/>
  <c r="AE107" i="20" a="1"/>
  <c r="AE107" i="20" s="1"/>
  <c r="AE104" i="20" a="1"/>
  <c r="AE104" i="20" s="1"/>
  <c r="AE100" i="20" a="1"/>
  <c r="AE100" i="20" s="1"/>
  <c r="AE99" i="20" a="1"/>
  <c r="AE99" i="20" s="1"/>
  <c r="AE96" i="20" a="1"/>
  <c r="AE96" i="20" s="1"/>
  <c r="AE95" i="20" a="1"/>
  <c r="AE95" i="20" s="1"/>
  <c r="AE92" i="20" a="1"/>
  <c r="AE92" i="20" s="1"/>
  <c r="AE91" i="20" a="1"/>
  <c r="AE91" i="20" s="1"/>
  <c r="AE88" i="20" a="1"/>
  <c r="AE88" i="20" s="1"/>
  <c r="AE87" i="20" a="1"/>
  <c r="AE87" i="20" s="1"/>
  <c r="AE83" i="20" a="1"/>
  <c r="AE83" i="20" s="1"/>
  <c r="AE82" i="20" a="1"/>
  <c r="AE82" i="20" s="1"/>
  <c r="AE78" i="20" a="1"/>
  <c r="AE78" i="20" s="1"/>
  <c r="AE77" i="20" a="1"/>
  <c r="AE77" i="20" s="1"/>
  <c r="AE73" i="20" a="1"/>
  <c r="AE73" i="20" s="1"/>
  <c r="AE72" i="20" a="1"/>
  <c r="AE72" i="20" s="1"/>
  <c r="AE71" i="20" a="1"/>
  <c r="AE71" i="20" s="1"/>
  <c r="AE66" i="20" a="1"/>
  <c r="AE66" i="20" s="1"/>
  <c r="AE64" i="20" a="1"/>
  <c r="AE64" i="20" s="1"/>
  <c r="AE52" i="20" a="1"/>
  <c r="AE52" i="20" s="1"/>
  <c r="AE51" i="20" a="1"/>
  <c r="AE51" i="20" s="1"/>
  <c r="AE47" i="20" a="1"/>
  <c r="AE47" i="20" s="1"/>
  <c r="AE46" i="20" a="1"/>
  <c r="AE46" i="20" s="1"/>
  <c r="AE42" i="20" a="1"/>
  <c r="AE42" i="20" s="1"/>
  <c r="AE40" i="20" a="1"/>
  <c r="AE40" i="20" s="1"/>
  <c r="AE39" i="20" a="1"/>
  <c r="AE39" i="20" s="1"/>
  <c r="AE36" i="20" a="1"/>
  <c r="AE36" i="20" s="1"/>
  <c r="AE34" i="20" a="1"/>
  <c r="AE34" i="20" s="1"/>
  <c r="AE31" i="20" a="1"/>
  <c r="AE31" i="20" s="1"/>
  <c r="AE30" i="20" a="1"/>
  <c r="AE30" i="20" s="1"/>
  <c r="AE27" i="20" a="1"/>
  <c r="AE27" i="20" s="1"/>
  <c r="AE22" i="20" a="1"/>
  <c r="AE22" i="20" s="1"/>
  <c r="AE20" i="20" a="1"/>
  <c r="AE20" i="20" s="1"/>
  <c r="AF57" i="20" a="1"/>
  <c r="AF57" i="20" s="1"/>
  <c r="AF63" i="20" a="1"/>
  <c r="AF63" i="20" s="1"/>
  <c r="AS57" i="20" a="1"/>
  <c r="AS63" i="20" a="1"/>
  <c r="AS57" i="20" l="1"/>
  <c r="AS63" i="20"/>
  <c r="AG63" i="20" a="1"/>
  <c r="AG63" i="20" s="1"/>
  <c r="AG57" i="20" a="1"/>
  <c r="AG57" i="20" s="1"/>
  <c r="AF20" i="20" a="1"/>
  <c r="AF20" i="20" s="1"/>
  <c r="AJ20" i="20"/>
  <c r="AF22" i="20" a="1"/>
  <c r="AF22" i="20" s="1"/>
  <c r="AJ22" i="20"/>
  <c r="AF27" i="20" a="1"/>
  <c r="AF27" i="20" s="1"/>
  <c r="AJ27" i="20"/>
  <c r="AF30" i="20" a="1"/>
  <c r="AF30" i="20" s="1"/>
  <c r="AG30" i="20" s="1" a="1"/>
  <c r="AG30" i="20" s="1"/>
  <c r="AH30" i="20" s="1" a="1"/>
  <c r="AH30" i="20" s="1"/>
  <c r="AK30" i="20" s="1"/>
  <c r="AJ30" i="20"/>
  <c r="AF31" i="20" a="1"/>
  <c r="AF31" i="20" s="1"/>
  <c r="AJ31" i="20"/>
  <c r="AF34" i="20" a="1"/>
  <c r="AF34" i="20" s="1"/>
  <c r="AJ34" i="20"/>
  <c r="AF36" i="20" a="1"/>
  <c r="AF36" i="20" s="1"/>
  <c r="AJ36" i="20"/>
  <c r="AF39" i="20" a="1"/>
  <c r="AF39" i="20" s="1"/>
  <c r="AJ39" i="20"/>
  <c r="AF40" i="20" a="1"/>
  <c r="AF40" i="20" s="1"/>
  <c r="AJ40" i="20"/>
  <c r="AF42" i="20" a="1"/>
  <c r="AF42" i="20" s="1"/>
  <c r="AJ42" i="20"/>
  <c r="AF46" i="20" a="1"/>
  <c r="AF46" i="20" s="1"/>
  <c r="AJ46" i="20"/>
  <c r="AF47" i="20" a="1"/>
  <c r="AF47" i="20" s="1"/>
  <c r="AJ47" i="20"/>
  <c r="AF51" i="20" a="1"/>
  <c r="AF51" i="20" s="1"/>
  <c r="AJ51" i="20"/>
  <c r="AF52" i="20" a="1"/>
  <c r="AF52" i="20" s="1"/>
  <c r="AJ52" i="20"/>
  <c r="AF64" i="20" a="1"/>
  <c r="AF64" i="20" s="1"/>
  <c r="AJ64" i="20"/>
  <c r="AF66" i="20" a="1"/>
  <c r="AF66" i="20" s="1"/>
  <c r="AJ66" i="20"/>
  <c r="AF71" i="20" a="1"/>
  <c r="AF71" i="20" s="1"/>
  <c r="AJ71" i="20"/>
  <c r="AF72" i="20" a="1"/>
  <c r="AF72" i="20" s="1"/>
  <c r="AJ72" i="20"/>
  <c r="AF73" i="20" a="1"/>
  <c r="AF73" i="20" s="1"/>
  <c r="AJ73" i="20"/>
  <c r="AF77" i="20" a="1"/>
  <c r="AF77" i="20" s="1"/>
  <c r="AJ77" i="20"/>
  <c r="AF78" i="20" a="1"/>
  <c r="AF78" i="20" s="1"/>
  <c r="AJ78" i="20"/>
  <c r="AF82" i="20" a="1"/>
  <c r="AF82" i="20" s="1"/>
  <c r="AJ82" i="20"/>
  <c r="AF83" i="20" a="1"/>
  <c r="AF83" i="20" s="1"/>
  <c r="AJ83" i="20"/>
  <c r="AF87" i="20" a="1"/>
  <c r="AF87" i="20" s="1"/>
  <c r="AJ87" i="20"/>
  <c r="AF88" i="20" a="1"/>
  <c r="AF88" i="20" s="1"/>
  <c r="AJ88" i="20"/>
  <c r="AF91" i="20" a="1"/>
  <c r="AF91" i="20" s="1"/>
  <c r="AJ91" i="20"/>
  <c r="AF92" i="20" a="1"/>
  <c r="AF92" i="20" s="1"/>
  <c r="AJ92" i="20"/>
  <c r="AF95" i="20" a="1"/>
  <c r="AF95" i="20" s="1"/>
  <c r="AJ95" i="20"/>
  <c r="AF96" i="20" a="1"/>
  <c r="AF96" i="20" s="1"/>
  <c r="AJ96" i="20"/>
  <c r="AF99" i="20" a="1"/>
  <c r="AF99" i="20" s="1"/>
  <c r="AJ99" i="20"/>
  <c r="AF100" i="20" a="1"/>
  <c r="AF100" i="20" s="1"/>
  <c r="AJ100" i="20"/>
  <c r="AF104" i="20" a="1"/>
  <c r="AF104" i="20" s="1"/>
  <c r="AJ104" i="20"/>
  <c r="AF107" i="20" a="1"/>
  <c r="AF107" i="20" s="1"/>
  <c r="AJ107" i="20"/>
  <c r="AF108" i="20" a="1"/>
  <c r="AF108" i="20" s="1"/>
  <c r="AJ108"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5" i="20" a="1"/>
  <c r="X95" i="20" s="1"/>
  <c r="X91" i="20" a="1"/>
  <c r="X91" i="20" s="1"/>
  <c r="X90" i="20" a="1"/>
  <c r="X90" i="20" s="1"/>
  <c r="X89" i="20" a="1"/>
  <c r="X89" i="20" s="1"/>
  <c r="X88" i="20" a="1"/>
  <c r="X88" i="20" s="1"/>
  <c r="X87" i="20" a="1"/>
  <c r="X87" i="20" s="1"/>
  <c r="X82" i="20" a="1"/>
  <c r="X82" i="20" s="1"/>
  <c r="X77" i="20" a="1"/>
  <c r="X77" i="20" s="1"/>
  <c r="X71" i="20" a="1"/>
  <c r="X71"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46" i="20" a="1"/>
  <c r="X46" i="20" s="1"/>
  <c r="X39" i="20" a="1"/>
  <c r="X39" i="20" s="1"/>
  <c r="X30" i="20" a="1"/>
  <c r="X30" i="20" s="1"/>
  <c r="Y18" i="20"/>
  <c r="AS77" i="20" a="1"/>
  <c r="AS88" i="20" a="1"/>
  <c r="AS47" i="20" a="1"/>
  <c r="AS40" i="20" a="1"/>
  <c r="AS108" i="20" a="1"/>
  <c r="AS36" i="20" a="1"/>
  <c r="AS73" i="20" a="1"/>
  <c r="AS51" i="20" a="1"/>
  <c r="AS72" i="20" a="1"/>
  <c r="AS100" i="20" a="1"/>
  <c r="AT57" i="20" a="1"/>
  <c r="AS64" i="20" a="1"/>
  <c r="AS34" i="20" a="1"/>
  <c r="AT63" i="20" a="1"/>
  <c r="AS95" i="20" a="1"/>
  <c r="AS42" i="20" a="1"/>
  <c r="AS27" i="20" a="1"/>
  <c r="AS87" i="20" a="1"/>
  <c r="AS39" i="20" a="1"/>
  <c r="AS92" i="20" a="1"/>
  <c r="AS46" i="20" a="1"/>
  <c r="AS104" i="20" a="1"/>
  <c r="AS31" i="20" a="1"/>
  <c r="AS78" i="20" a="1"/>
  <c r="AS91" i="20" a="1"/>
  <c r="AS83" i="20" a="1"/>
  <c r="AS107" i="20" a="1"/>
  <c r="AS22" i="20" a="1"/>
  <c r="AS20" i="20" a="1"/>
  <c r="AS96" i="20" a="1"/>
  <c r="AS71" i="20" a="1"/>
  <c r="AS66" i="20" a="1"/>
  <c r="AS52" i="20" a="1"/>
  <c r="AS82" i="20" a="1"/>
  <c r="AS99" i="20" a="1"/>
  <c r="AS64" i="20" l="1"/>
  <c r="AS34" i="20"/>
  <c r="AS46" i="20"/>
  <c r="AS91" i="20"/>
  <c r="AS92" i="20"/>
  <c r="AS99" i="20"/>
  <c r="AS20" i="20"/>
  <c r="AS36" i="20"/>
  <c r="AS108" i="20"/>
  <c r="AS96" i="20"/>
  <c r="AS78" i="20"/>
  <c r="AS40" i="20"/>
  <c r="AS31" i="20"/>
  <c r="AS73" i="20"/>
  <c r="AS72" i="20"/>
  <c r="AS107" i="20"/>
  <c r="AS88" i="20"/>
  <c r="AS51" i="20"/>
  <c r="AT57" i="20"/>
  <c r="AS82" i="20"/>
  <c r="AS71" i="20"/>
  <c r="AS83" i="20"/>
  <c r="AS42" i="20"/>
  <c r="AS95" i="20"/>
  <c r="AS66" i="20"/>
  <c r="AS47" i="20"/>
  <c r="AS39" i="20"/>
  <c r="AT63" i="20"/>
  <c r="AS22" i="20"/>
  <c r="AS87" i="20"/>
  <c r="AS100" i="20"/>
  <c r="AS52" i="20"/>
  <c r="AS104" i="20"/>
  <c r="AS77" i="20"/>
  <c r="AS27" i="20"/>
  <c r="Y110" i="20"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5" i="20" a="1"/>
  <c r="Y95" i="20" s="1"/>
  <c r="Y91" i="20" a="1"/>
  <c r="Y91" i="20" s="1"/>
  <c r="Y90" i="20" a="1"/>
  <c r="Y90" i="20" s="1"/>
  <c r="Y89" i="20" a="1"/>
  <c r="Y89" i="20" s="1"/>
  <c r="Y88" i="20" a="1"/>
  <c r="Y88" i="20" s="1"/>
  <c r="Y87" i="20" a="1"/>
  <c r="Y87" i="20" s="1"/>
  <c r="Y82" i="20" a="1"/>
  <c r="Y82" i="20" s="1"/>
  <c r="Y77" i="20" a="1"/>
  <c r="Y77" i="20" s="1"/>
  <c r="Y71" i="20" a="1"/>
  <c r="Y71"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46" i="20" a="1"/>
  <c r="Y46" i="20" s="1"/>
  <c r="Y39" i="20" a="1"/>
  <c r="Y39" i="20" s="1"/>
  <c r="Y30" i="20" a="1"/>
  <c r="Y30" i="20" s="1"/>
  <c r="Z18" i="20"/>
  <c r="AG108" i="20" a="1"/>
  <c r="AG108" i="20" s="1"/>
  <c r="AG107" i="20" a="1"/>
  <c r="AG107" i="20" s="1"/>
  <c r="AG104" i="20" a="1"/>
  <c r="AG104" i="20" s="1"/>
  <c r="AG100" i="20" a="1"/>
  <c r="AG100" i="20" s="1"/>
  <c r="AG99" i="20" a="1"/>
  <c r="AG99" i="20" s="1"/>
  <c r="AG96" i="20" a="1"/>
  <c r="AG96" i="20" s="1"/>
  <c r="AG95" i="20" a="1"/>
  <c r="AG95" i="20" s="1"/>
  <c r="AG92" i="20" a="1"/>
  <c r="AG92" i="20" s="1"/>
  <c r="AG91" i="20" a="1"/>
  <c r="AG91" i="20" s="1"/>
  <c r="AG88" i="20" a="1"/>
  <c r="AG88" i="20" s="1"/>
  <c r="AG87" i="20" a="1"/>
  <c r="AG87" i="20" s="1"/>
  <c r="AG83" i="20" a="1"/>
  <c r="AG83" i="20" s="1"/>
  <c r="AG82" i="20" a="1"/>
  <c r="AG82" i="20" s="1"/>
  <c r="AG78" i="20" a="1"/>
  <c r="AG78" i="20" s="1"/>
  <c r="AG77" i="20" a="1"/>
  <c r="AG77" i="20" s="1"/>
  <c r="AG73" i="20" a="1"/>
  <c r="AG73" i="20" s="1"/>
  <c r="AG72" i="20" a="1"/>
  <c r="AG72" i="20" s="1"/>
  <c r="AG71" i="20" a="1"/>
  <c r="AG71" i="20" s="1"/>
  <c r="AG66" i="20" a="1"/>
  <c r="AG66" i="20" s="1"/>
  <c r="AG64" i="20" a="1"/>
  <c r="AG64" i="20" s="1"/>
  <c r="AG52" i="20" a="1"/>
  <c r="AG52" i="20" s="1"/>
  <c r="AG51" i="20" a="1"/>
  <c r="AG51" i="20" s="1"/>
  <c r="AG47" i="20" a="1"/>
  <c r="AG47" i="20" s="1"/>
  <c r="AG46" i="20" a="1"/>
  <c r="AG46" i="20" s="1"/>
  <c r="AG42" i="20" a="1"/>
  <c r="AG42" i="20" s="1"/>
  <c r="AG40" i="20" a="1"/>
  <c r="AG40" i="20" s="1"/>
  <c r="AG39" i="20" a="1"/>
  <c r="AG39" i="20" s="1"/>
  <c r="AG36" i="20" a="1"/>
  <c r="AG36" i="20" s="1"/>
  <c r="AG34" i="20" a="1"/>
  <c r="AG34" i="20" s="1"/>
  <c r="AG31" i="20" a="1"/>
  <c r="AG31" i="20" s="1"/>
  <c r="AG27" i="20" a="1"/>
  <c r="AG27" i="20" s="1"/>
  <c r="AG22" i="20" a="1"/>
  <c r="AG22" i="20" s="1"/>
  <c r="AG20" i="20" a="1"/>
  <c r="AG20" i="20" s="1"/>
  <c r="AH57" i="20" a="1"/>
  <c r="AH57" i="20" s="1"/>
  <c r="AH63" i="20" a="1"/>
  <c r="AH63" i="20" s="1"/>
  <c r="AT22" i="20" a="1"/>
  <c r="AT73" i="20" a="1"/>
  <c r="AT20" i="20" a="1"/>
  <c r="AT71" i="20" a="1"/>
  <c r="AT72" i="20" a="1"/>
  <c r="AT64" i="20" a="1"/>
  <c r="AT100" i="20" a="1"/>
  <c r="AT92" i="20" a="1"/>
  <c r="AT47" i="20" a="1"/>
  <c r="AT83" i="20" a="1"/>
  <c r="AT88" i="20" a="1"/>
  <c r="AT104" i="20" a="1"/>
  <c r="AT46" i="20" a="1"/>
  <c r="AT40" i="20" a="1"/>
  <c r="AT82" i="20" a="1"/>
  <c r="AU57" i="20" a="1"/>
  <c r="AT31" i="20" a="1"/>
  <c r="AT52" i="20" a="1"/>
  <c r="AT107" i="20" a="1"/>
  <c r="AT91" i="20" a="1"/>
  <c r="AT108" i="20" a="1"/>
  <c r="AU63" i="20" a="1"/>
  <c r="AT36" i="20" a="1"/>
  <c r="AT34" i="20" a="1"/>
  <c r="AT77" i="20" a="1"/>
  <c r="AT87" i="20" a="1"/>
  <c r="AT99" i="20" a="1"/>
  <c r="AT42" i="20" a="1"/>
  <c r="AT66" i="20" a="1"/>
  <c r="AT96" i="20" a="1"/>
  <c r="AT95" i="20" a="1"/>
  <c r="AT78" i="20" a="1"/>
  <c r="AT39" i="20" a="1"/>
  <c r="AT27" i="20" a="1"/>
  <c r="AT51" i="20" a="1"/>
  <c r="AT107" i="20" l="1"/>
  <c r="AT52" i="20"/>
  <c r="AT92" i="20"/>
  <c r="AT95" i="20"/>
  <c r="AT104" i="20"/>
  <c r="AT42" i="20"/>
  <c r="AT82" i="20"/>
  <c r="AT108" i="20"/>
  <c r="AT39" i="20"/>
  <c r="AT64" i="20"/>
  <c r="AT66" i="20"/>
  <c r="AT31" i="20"/>
  <c r="AT71" i="20"/>
  <c r="AT83" i="20"/>
  <c r="AT96" i="20"/>
  <c r="AT46" i="20"/>
  <c r="AT40" i="20"/>
  <c r="AT47" i="20"/>
  <c r="AT72" i="20"/>
  <c r="AT99" i="20"/>
  <c r="AT77" i="20"/>
  <c r="AT22" i="20"/>
  <c r="AT34" i="20"/>
  <c r="AT87" i="20"/>
  <c r="AT91" i="20"/>
  <c r="AT78" i="20"/>
  <c r="AU63" i="20"/>
  <c r="AT36" i="20"/>
  <c r="AT51" i="20"/>
  <c r="AT73" i="20"/>
  <c r="AT100" i="20"/>
  <c r="AT20" i="20"/>
  <c r="AT27" i="20"/>
  <c r="AU57" i="20"/>
  <c r="AT88" i="20"/>
  <c r="AK63" i="20"/>
  <c r="AK57" i="20"/>
  <c r="AH20" i="20" a="1"/>
  <c r="AH20" i="20" s="1"/>
  <c r="AH22" i="20" a="1"/>
  <c r="AH22" i="20" s="1"/>
  <c r="AH27" i="20" a="1"/>
  <c r="AH27" i="20" s="1"/>
  <c r="AH31" i="20" a="1"/>
  <c r="AH31" i="20" s="1"/>
  <c r="AH34" i="20" a="1"/>
  <c r="AH34" i="20" s="1"/>
  <c r="AH36" i="20" a="1"/>
  <c r="AH36" i="20" s="1"/>
  <c r="AH39" i="20" a="1"/>
  <c r="AH39" i="20" s="1"/>
  <c r="AH40" i="20" a="1"/>
  <c r="AH40" i="20" s="1"/>
  <c r="AH42" i="20" a="1"/>
  <c r="AH42" i="20" s="1"/>
  <c r="AH46" i="20" a="1"/>
  <c r="AH46" i="20" s="1"/>
  <c r="AH47" i="20" a="1"/>
  <c r="AH47" i="20" s="1"/>
  <c r="AH51" i="20" a="1"/>
  <c r="AH51" i="20" s="1"/>
  <c r="AH52" i="20" a="1"/>
  <c r="AH52" i="20" s="1"/>
  <c r="AH64" i="20" a="1"/>
  <c r="AH64" i="20" s="1"/>
  <c r="AH66" i="20" a="1"/>
  <c r="AH66" i="20" s="1"/>
  <c r="AH71" i="20" a="1"/>
  <c r="AH71" i="20" s="1"/>
  <c r="AH72" i="20" a="1"/>
  <c r="AH72" i="20" s="1"/>
  <c r="AH73" i="20" a="1"/>
  <c r="AH73" i="20" s="1"/>
  <c r="AH77" i="20" a="1"/>
  <c r="AH77" i="20" s="1"/>
  <c r="AH78" i="20" a="1"/>
  <c r="AH78" i="20" s="1"/>
  <c r="AH82" i="20" a="1"/>
  <c r="AH82" i="20" s="1"/>
  <c r="AH83" i="20" a="1"/>
  <c r="AH83" i="20" s="1"/>
  <c r="AH87" i="20" a="1"/>
  <c r="AH87" i="20" s="1"/>
  <c r="AH88" i="20" a="1"/>
  <c r="AH88" i="20" s="1"/>
  <c r="AH91" i="20" a="1"/>
  <c r="AH91" i="20" s="1"/>
  <c r="AH92" i="20" a="1"/>
  <c r="AH92" i="20" s="1"/>
  <c r="AH95" i="20" a="1"/>
  <c r="AH95" i="20" s="1"/>
  <c r="AH96" i="20" a="1"/>
  <c r="AH96" i="20" s="1"/>
  <c r="AH99" i="20" a="1"/>
  <c r="AH99" i="20" s="1"/>
  <c r="AH100" i="20" a="1"/>
  <c r="AH100" i="20" s="1"/>
  <c r="AH104" i="20" a="1"/>
  <c r="AH104" i="20" s="1"/>
  <c r="AH107" i="20" a="1"/>
  <c r="AH107" i="20" s="1"/>
  <c r="AH108" i="20" a="1"/>
  <c r="AH108"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5" i="20" a="1"/>
  <c r="Z95" i="20" s="1"/>
  <c r="Z91" i="20" a="1"/>
  <c r="Z91" i="20" s="1"/>
  <c r="Z90" i="20" a="1"/>
  <c r="Z90" i="20" s="1"/>
  <c r="Z89" i="20" a="1"/>
  <c r="Z89" i="20" s="1"/>
  <c r="Z88" i="20" a="1"/>
  <c r="Z88" i="20" s="1"/>
  <c r="Z87" i="20" a="1"/>
  <c r="Z87" i="20" s="1"/>
  <c r="Z82" i="20" a="1"/>
  <c r="Z82" i="20" s="1"/>
  <c r="Z77" i="20" a="1"/>
  <c r="Z77" i="20" s="1"/>
  <c r="Z71" i="20" a="1"/>
  <c r="Z71"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46" i="20" a="1"/>
  <c r="Z46" i="20" s="1"/>
  <c r="Z39" i="20" a="1"/>
  <c r="Z39" i="20" s="1"/>
  <c r="Z30" i="20" a="1"/>
  <c r="Z30" i="20" s="1"/>
  <c r="AA18" i="20"/>
  <c r="AU36" i="20" a="1"/>
  <c r="AU95" i="20" a="1"/>
  <c r="AU92" i="20" a="1"/>
  <c r="AU31" i="20" a="1"/>
  <c r="AU83" i="20" a="1"/>
  <c r="AU51" i="20" a="1"/>
  <c r="AU40" i="20" a="1"/>
  <c r="AU99" i="20" a="1"/>
  <c r="AU64" i="20" a="1"/>
  <c r="AU100" i="20" a="1"/>
  <c r="AU77" i="20" a="1"/>
  <c r="AU52" i="20" a="1"/>
  <c r="AU71" i="20" a="1"/>
  <c r="AU108" i="20" a="1"/>
  <c r="AU22" i="20" a="1"/>
  <c r="AU78" i="20" a="1"/>
  <c r="AU72" i="20" a="1"/>
  <c r="AU107" i="20" a="1"/>
  <c r="AV57" i="20" a="1"/>
  <c r="AU73" i="20" a="1"/>
  <c r="AU46" i="20" a="1"/>
  <c r="AU42" i="20" a="1"/>
  <c r="AU87" i="20" a="1"/>
  <c r="AU39" i="20" a="1"/>
  <c r="AU20" i="20" a="1"/>
  <c r="AU91" i="20" a="1"/>
  <c r="AU47" i="20" a="1"/>
  <c r="AU88" i="20" a="1"/>
  <c r="AU104" i="20" a="1"/>
  <c r="AU27" i="20" a="1"/>
  <c r="AV63" i="20" a="1"/>
  <c r="AU34" i="20" a="1"/>
  <c r="AU66" i="20" a="1"/>
  <c r="AU82" i="20" a="1"/>
  <c r="AU96" i="20" a="1"/>
  <c r="AV63" i="20" l="1"/>
  <c r="AU31" i="20"/>
  <c r="AU34" i="20"/>
  <c r="AU96" i="20"/>
  <c r="AU66" i="20"/>
  <c r="AU42" i="20"/>
  <c r="AU27" i="20"/>
  <c r="AU82" i="20"/>
  <c r="AU72" i="20"/>
  <c r="AU46" i="20"/>
  <c r="AU107" i="20"/>
  <c r="AU92" i="20"/>
  <c r="AU64" i="20"/>
  <c r="AU22" i="20"/>
  <c r="AU99" i="20"/>
  <c r="AU95" i="20"/>
  <c r="AU78" i="20"/>
  <c r="AU40" i="20"/>
  <c r="AU91" i="20"/>
  <c r="AU52" i="20"/>
  <c r="AU20" i="20"/>
  <c r="AU47" i="20"/>
  <c r="AU83" i="20"/>
  <c r="AU104" i="20"/>
  <c r="AU77" i="20"/>
  <c r="AU39" i="20"/>
  <c r="AU87" i="20"/>
  <c r="AU71" i="20"/>
  <c r="AU100" i="20"/>
  <c r="AU88" i="20"/>
  <c r="AU73" i="20"/>
  <c r="AU51" i="20"/>
  <c r="AV57" i="20"/>
  <c r="AU108" i="20"/>
  <c r="AU36" i="20"/>
  <c r="AA110" i="20"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5" i="20" a="1"/>
  <c r="AA95" i="20" s="1"/>
  <c r="AA91" i="20" a="1"/>
  <c r="AA91" i="20" s="1"/>
  <c r="AA90" i="20" a="1"/>
  <c r="AA90" i="20" s="1"/>
  <c r="AA89" i="20" a="1"/>
  <c r="AA89" i="20" s="1"/>
  <c r="AA88" i="20" a="1"/>
  <c r="AA88" i="20" s="1"/>
  <c r="AA87" i="20" a="1"/>
  <c r="AA87" i="20" s="1"/>
  <c r="AA82" i="20" a="1"/>
  <c r="AA82" i="20" s="1"/>
  <c r="AA77" i="20" a="1"/>
  <c r="AA77" i="20" s="1"/>
  <c r="AA71" i="20" a="1"/>
  <c r="AA71"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46" i="20" a="1"/>
  <c r="AA46" i="20" s="1"/>
  <c r="AA39" i="20" a="1"/>
  <c r="AA39" i="20" s="1"/>
  <c r="AA30" i="20" a="1"/>
  <c r="AA30" i="20" s="1"/>
  <c r="AB18" i="20"/>
  <c r="AK108" i="20"/>
  <c r="AK107" i="20"/>
  <c r="AK104" i="20"/>
  <c r="AK100" i="20"/>
  <c r="AK99" i="20"/>
  <c r="AK96" i="20"/>
  <c r="AK95" i="20"/>
  <c r="AK92" i="20"/>
  <c r="AK91" i="20"/>
  <c r="AK88" i="20"/>
  <c r="AK87" i="20"/>
  <c r="AK83" i="20"/>
  <c r="AK82" i="20"/>
  <c r="AK78" i="20"/>
  <c r="AK77" i="20"/>
  <c r="AK73" i="20"/>
  <c r="AK72" i="20"/>
  <c r="AK71" i="20"/>
  <c r="AK66" i="20"/>
  <c r="AK64" i="20"/>
  <c r="AK52" i="20"/>
  <c r="AK51" i="20"/>
  <c r="AK47" i="20"/>
  <c r="AK46" i="20"/>
  <c r="AK42" i="20"/>
  <c r="AK40" i="20"/>
  <c r="AK39" i="20"/>
  <c r="AK36" i="20"/>
  <c r="AK34" i="20"/>
  <c r="AK31" i="20"/>
  <c r="AK27" i="20"/>
  <c r="AK22" i="20"/>
  <c r="AN20" i="20"/>
  <c r="AK20" i="20"/>
  <c r="AV22" i="20" a="1"/>
  <c r="AV64" i="20" a="1"/>
  <c r="AV104" i="20" a="1"/>
  <c r="AV107" i="20" a="1"/>
  <c r="AV73" i="20" a="1"/>
  <c r="AV78" i="20" a="1"/>
  <c r="AV40" i="20" a="1"/>
  <c r="AV34" i="20" a="1"/>
  <c r="AV87" i="20" a="1"/>
  <c r="AV42" i="20" a="1"/>
  <c r="AV99" i="20" a="1"/>
  <c r="AV39" i="20" a="1"/>
  <c r="AV108" i="20" a="1"/>
  <c r="AV66" i="20" a="1"/>
  <c r="AV71" i="20" a="1"/>
  <c r="AV95" i="20" a="1"/>
  <c r="AV52" i="20" a="1"/>
  <c r="AV27" i="20" a="1"/>
  <c r="AV47" i="20" a="1"/>
  <c r="AV20" i="20" a="1"/>
  <c r="AV51" i="20" a="1"/>
  <c r="AV83" i="20" a="1"/>
  <c r="AV100" i="20" a="1"/>
  <c r="AV96" i="20" a="1"/>
  <c r="AV82" i="20" a="1"/>
  <c r="AV72" i="20" a="1"/>
  <c r="AV77" i="20" a="1"/>
  <c r="AV91" i="20" a="1"/>
  <c r="AV88" i="20" a="1"/>
  <c r="AV92" i="20" a="1"/>
  <c r="AV46" i="20" a="1"/>
  <c r="AV31" i="20" a="1"/>
  <c r="AV36" i="20" a="1"/>
  <c r="AV107" i="20" l="1"/>
  <c r="AV20" i="20"/>
  <c r="AV91" i="20"/>
  <c r="AV64" i="20"/>
  <c r="AV95" i="20"/>
  <c r="AV104" i="20"/>
  <c r="AV78" i="20"/>
  <c r="AV82" i="20"/>
  <c r="AV108" i="20"/>
  <c r="AV52" i="20"/>
  <c r="AV40" i="20"/>
  <c r="AV66" i="20"/>
  <c r="AV46" i="20"/>
  <c r="AV71" i="20"/>
  <c r="AV96" i="20"/>
  <c r="AV83" i="20"/>
  <c r="AV92" i="20"/>
  <c r="AV87" i="20"/>
  <c r="AV39" i="20"/>
  <c r="AV27" i="20"/>
  <c r="AV34" i="20"/>
  <c r="AV72" i="20"/>
  <c r="AV99" i="20"/>
  <c r="AV77" i="20"/>
  <c r="AV47" i="20"/>
  <c r="AV73" i="20"/>
  <c r="AV100" i="20"/>
  <c r="AV22" i="20"/>
  <c r="AV42" i="20"/>
  <c r="AV31" i="20"/>
  <c r="AV36" i="20"/>
  <c r="AV51" i="20"/>
  <c r="AV88" i="20"/>
  <c r="AB110" i="20"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5" i="20" a="1"/>
  <c r="AB95" i="20" s="1"/>
  <c r="AB91" i="20" a="1"/>
  <c r="AB91" i="20" s="1"/>
  <c r="AB90" i="20" a="1"/>
  <c r="AB90" i="20" s="1"/>
  <c r="AB89" i="20" a="1"/>
  <c r="AB89" i="20" s="1"/>
  <c r="AB88" i="20" a="1"/>
  <c r="AB88" i="20" s="1"/>
  <c r="AB87" i="20" a="1"/>
  <c r="AB87" i="20" s="1"/>
  <c r="AB82" i="20" a="1"/>
  <c r="AB82" i="20" s="1"/>
  <c r="AB77" i="20" a="1"/>
  <c r="AB77" i="20" s="1"/>
  <c r="AB71" i="20" a="1"/>
  <c r="AB71"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46" i="20" a="1"/>
  <c r="AB46" i="20" s="1"/>
  <c r="AB39" i="20" a="1"/>
  <c r="AB39" i="20" s="1"/>
  <c r="AB30" i="20" a="1"/>
  <c r="AB30" i="20" s="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N7" i="18" s="1"/>
  <c r="N8" i="18" s="1"/>
  <c r="F6" i="18"/>
  <c r="G6" i="18"/>
  <c r="H6" i="18"/>
  <c r="I6" i="18"/>
  <c r="J6" i="18"/>
  <c r="K6" i="18"/>
  <c r="K7" i="18" s="1"/>
  <c r="K8" i="18" s="1"/>
  <c r="L6" i="18"/>
  <c r="M6" i="18"/>
  <c r="N6" i="18"/>
  <c r="O6" i="18"/>
  <c r="P6" i="18"/>
  <c r="C18" i="18"/>
  <c r="D21" i="18"/>
  <c r="D22" i="18"/>
  <c r="D23" i="18"/>
  <c r="D25" i="18" s="1"/>
  <c r="M7" i="18" l="1"/>
  <c r="M8" i="18" s="1"/>
  <c r="L7" i="18"/>
  <c r="L8" i="18" s="1"/>
  <c r="I7" i="18"/>
  <c r="I8" i="18" s="1"/>
  <c r="E7" i="18"/>
  <c r="E8" i="18" s="1"/>
  <c r="O7" i="18"/>
  <c r="O8" i="18" s="1"/>
  <c r="F7" i="18"/>
  <c r="F8" i="18" s="1"/>
  <c r="J7" i="18"/>
  <c r="J8" i="18" s="1"/>
  <c r="H7" i="18"/>
  <c r="H8" i="18" s="1"/>
  <c r="G7" i="18"/>
  <c r="P7" i="18"/>
  <c r="P8" i="18" s="1"/>
  <c r="U24" i="18"/>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T4" i="18" l="1"/>
  <c r="U4" i="18" s="1"/>
  <c r="AD4" i="18" s="1"/>
  <c r="E10" i="18"/>
  <c r="G8" i="18"/>
  <c r="E9" i="18" s="1"/>
  <c r="AL13" i="18"/>
  <c r="R16" i="6" s="1"/>
  <c r="AK13" i="18"/>
  <c r="Q16" i="6" s="1"/>
  <c r="AJ13" i="18"/>
  <c r="P16" i="6" s="1"/>
  <c r="AI13" i="18"/>
  <c r="O16" i="6" s="1"/>
  <c r="AH13" i="18"/>
  <c r="N16" i="6" s="1"/>
  <c r="AG13" i="18"/>
  <c r="M16" i="6" s="1"/>
  <c r="AF13" i="18"/>
  <c r="L16" i="6" s="1"/>
  <c r="AE13" i="18"/>
  <c r="K16" i="6" s="1"/>
  <c r="AL14" i="18"/>
  <c r="R17" i="6" s="1"/>
  <c r="AK14" i="18"/>
  <c r="Q17" i="6" s="1"/>
  <c r="AJ14" i="18"/>
  <c r="P17" i="6" s="1"/>
  <c r="AI14" i="18"/>
  <c r="O17" i="6" s="1"/>
  <c r="AH14" i="18"/>
  <c r="N17" i="6" s="1"/>
  <c r="AG14" i="18"/>
  <c r="M17" i="6" s="1"/>
  <c r="AF14" i="18"/>
  <c r="L17" i="6" s="1"/>
  <c r="AE14" i="18"/>
  <c r="K17" i="6" s="1"/>
  <c r="AL12" i="18"/>
  <c r="R15" i="6" s="1"/>
  <c r="AK12" i="18"/>
  <c r="Q15" i="6" s="1"/>
  <c r="AJ12" i="18"/>
  <c r="P15" i="6" s="1"/>
  <c r="AI28" i="8" s="1" a="1"/>
  <c r="AI28" i="8" s="1"/>
  <c r="AI12" i="18"/>
  <c r="O15" i="6" s="1"/>
  <c r="AH28" i="8" s="1" a="1"/>
  <c r="AH28" i="8" s="1"/>
  <c r="AH12" i="18"/>
  <c r="N15" i="6" s="1"/>
  <c r="AG28" i="8" s="1" a="1"/>
  <c r="AG28" i="8" s="1"/>
  <c r="AG12" i="18"/>
  <c r="M15" i="6" s="1"/>
  <c r="AF12" i="18"/>
  <c r="L15" i="6" s="1"/>
  <c r="AE12" i="18"/>
  <c r="K15" i="6" s="1"/>
  <c r="AL23" i="18"/>
  <c r="R26" i="6" s="1"/>
  <c r="AJ50" i="8" s="1" a="1"/>
  <c r="AJ50" i="8" s="1"/>
  <c r="AK23" i="18"/>
  <c r="Q26" i="6" s="1"/>
  <c r="AJ23" i="18"/>
  <c r="P26" i="6" s="1"/>
  <c r="AI50" i="8" s="1" a="1"/>
  <c r="AI50" i="8" s="1"/>
  <c r="AI23" i="18"/>
  <c r="O26" i="6" s="1"/>
  <c r="AH50" i="8" s="1" a="1"/>
  <c r="AH50" i="8" s="1"/>
  <c r="AH23" i="18"/>
  <c r="N26" i="6" s="1"/>
  <c r="AG50" i="8" s="1" a="1"/>
  <c r="AG50" i="8" s="1"/>
  <c r="AG23" i="18"/>
  <c r="M26" i="6" s="1"/>
  <c r="AF23" i="18"/>
  <c r="L26" i="6" s="1"/>
  <c r="AE23" i="18"/>
  <c r="K26" i="6" s="1"/>
  <c r="AL28" i="18"/>
  <c r="R31" i="6" s="1"/>
  <c r="AK28" i="18"/>
  <c r="Q31" i="6" s="1"/>
  <c r="AJ28" i="18"/>
  <c r="P31" i="6" s="1"/>
  <c r="AI28" i="18"/>
  <c r="O31" i="6" s="1"/>
  <c r="AH28" i="18"/>
  <c r="N31" i="6" s="1"/>
  <c r="AG28" i="18"/>
  <c r="M31" i="6" s="1"/>
  <c r="AF28" i="18"/>
  <c r="L31" i="6" s="1"/>
  <c r="AE28" i="18"/>
  <c r="K31" i="6" s="1"/>
  <c r="AL36" i="18"/>
  <c r="R39" i="6" s="1"/>
  <c r="AK36" i="18"/>
  <c r="Q39" i="6" s="1"/>
  <c r="AJ36" i="18"/>
  <c r="P39" i="6" s="1"/>
  <c r="AI36" i="18"/>
  <c r="O39" i="6" s="1"/>
  <c r="AH36" i="18"/>
  <c r="N39" i="6" s="1"/>
  <c r="AG36" i="18"/>
  <c r="M39" i="6" s="1"/>
  <c r="AF36" i="18"/>
  <c r="L39" i="6" s="1"/>
  <c r="AE36" i="18"/>
  <c r="K39" i="6" s="1"/>
  <c r="AL22" i="18"/>
  <c r="R25" i="6" s="1"/>
  <c r="AK22" i="18"/>
  <c r="Q25" i="6" s="1"/>
  <c r="AJ22" i="18"/>
  <c r="P25" i="6" s="1"/>
  <c r="AI22" i="18"/>
  <c r="O25" i="6" s="1"/>
  <c r="AH22" i="18"/>
  <c r="N25" i="6" s="1"/>
  <c r="AG49" i="8" s="1" a="1"/>
  <c r="AG49" i="8" s="1"/>
  <c r="AG22" i="18"/>
  <c r="M25" i="6" s="1"/>
  <c r="AF22" i="18"/>
  <c r="L25" i="6" s="1"/>
  <c r="AE22" i="18"/>
  <c r="K25" i="6" s="1"/>
  <c r="AL11" i="18"/>
  <c r="R14" i="6" s="1"/>
  <c r="AK11" i="18"/>
  <c r="Q14" i="6" s="1"/>
  <c r="AJ11" i="18"/>
  <c r="P14" i="6" s="1"/>
  <c r="AI11" i="18"/>
  <c r="O14" i="6" s="1"/>
  <c r="AH11" i="18"/>
  <c r="N14" i="6" s="1"/>
  <c r="AG27" i="8" s="1" a="1"/>
  <c r="AG27" i="8" s="1"/>
  <c r="AG11" i="18"/>
  <c r="M14" i="6" s="1"/>
  <c r="AF11" i="18"/>
  <c r="L14" i="6" s="1"/>
  <c r="AE11" i="18"/>
  <c r="K14" i="6" s="1"/>
  <c r="AL4" i="18"/>
  <c r="R7" i="6" s="1"/>
  <c r="AK4" i="18"/>
  <c r="Q7" i="6" s="1"/>
  <c r="AJ4" i="18"/>
  <c r="P7" i="6" s="1"/>
  <c r="AI4" i="18"/>
  <c r="O7" i="6" s="1"/>
  <c r="AH4" i="18"/>
  <c r="N7" i="6" s="1"/>
  <c r="AG4" i="18"/>
  <c r="M7" i="6" s="1"/>
  <c r="AF4" i="18"/>
  <c r="L7" i="6" s="1"/>
  <c r="AE4" i="18"/>
  <c r="K7" i="6" s="1"/>
  <c r="AL15" i="18"/>
  <c r="R18" i="6" s="1"/>
  <c r="AJ29" i="8" s="1" a="1"/>
  <c r="AJ29" i="8" s="1"/>
  <c r="AK15" i="18"/>
  <c r="Q18" i="6" s="1"/>
  <c r="AJ15" i="18"/>
  <c r="P18" i="6" s="1"/>
  <c r="AI29" i="8" s="1" a="1"/>
  <c r="AI29" i="8" s="1"/>
  <c r="AI15" i="18"/>
  <c r="O18" i="6" s="1"/>
  <c r="AH29" i="8" s="1" a="1"/>
  <c r="AH29" i="8" s="1"/>
  <c r="AH15" i="18"/>
  <c r="N18" i="6" s="1"/>
  <c r="AG29" i="8" s="1" a="1"/>
  <c r="AG29" i="8" s="1"/>
  <c r="AG15" i="18"/>
  <c r="M18" i="6" s="1"/>
  <c r="AF15" i="18"/>
  <c r="L18" i="6" s="1"/>
  <c r="AE15" i="18"/>
  <c r="K18" i="6" s="1"/>
  <c r="AL20" i="18"/>
  <c r="R23" i="6" s="1"/>
  <c r="AK20" i="18"/>
  <c r="Q23" i="6" s="1"/>
  <c r="AJ20" i="18"/>
  <c r="P23" i="6" s="1"/>
  <c r="AI20" i="18"/>
  <c r="O23" i="6" s="1"/>
  <c r="AH20" i="18"/>
  <c r="N23" i="6" s="1"/>
  <c r="AG20" i="18"/>
  <c r="M23" i="6" s="1"/>
  <c r="AF20" i="18"/>
  <c r="L23" i="6" s="1"/>
  <c r="AE20" i="18"/>
  <c r="K23" i="6" s="1"/>
  <c r="AL3" i="18"/>
  <c r="R6" i="6" s="1"/>
  <c r="AK3" i="18"/>
  <c r="Q6" i="6" s="1"/>
  <c r="AJ3" i="18"/>
  <c r="P6" i="6" s="1"/>
  <c r="AI3" i="18"/>
  <c r="O6" i="6" s="1"/>
  <c r="AH3" i="18"/>
  <c r="N6" i="6" s="1"/>
  <c r="AG3" i="18"/>
  <c r="M6" i="6" s="1"/>
  <c r="AF3" i="18"/>
  <c r="L6" i="6" s="1"/>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U48" i="17"/>
  <c r="M48" i="17"/>
  <c r="W48" i="17"/>
  <c r="O48" i="17"/>
  <c r="Y48" i="17"/>
  <c r="Q48"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E11" i="18" l="1"/>
  <c r="AE47" i="8" a="1"/>
  <c r="AE47" i="8" s="1"/>
  <c r="W47" i="20" a="1"/>
  <c r="W47" i="20" s="1"/>
  <c r="AF47" i="8" a="1"/>
  <c r="AF47" i="8" s="1"/>
  <c r="X47" i="20" a="1"/>
  <c r="X47" i="20" s="1"/>
  <c r="AG47" i="8" a="1"/>
  <c r="AG47" i="8" s="1"/>
  <c r="Y49" i="20" a="1"/>
  <c r="Y49" i="20" s="1"/>
  <c r="Y48" i="20" a="1"/>
  <c r="Y48" i="20" s="1"/>
  <c r="Y47" i="20" a="1"/>
  <c r="Y47" i="20" s="1"/>
  <c r="Y50" i="20" a="1"/>
  <c r="Y50" i="20" s="1"/>
  <c r="AG31" i="8" a="1"/>
  <c r="AG31" i="8" s="1"/>
  <c r="AG64" i="8" a="1"/>
  <c r="AG64" i="8" s="1"/>
  <c r="AG41" i="8" a="1"/>
  <c r="AG41" i="8" s="1"/>
  <c r="AG66" i="8" a="1"/>
  <c r="AG66" i="8" s="1"/>
  <c r="AG40" i="8" a="1"/>
  <c r="AG40" i="8" s="1"/>
  <c r="AG33" i="8" a="1"/>
  <c r="AG33" i="8" s="1"/>
  <c r="AG42" i="8" a="1"/>
  <c r="AG42" i="8" s="1"/>
  <c r="AG34" i="8" a="1"/>
  <c r="AG34" i="8" s="1"/>
  <c r="Y37" i="20" a="1"/>
  <c r="Y37" i="20" s="1"/>
  <c r="Y34" i="20" a="1"/>
  <c r="Y34" i="20" s="1"/>
  <c r="Y36" i="20" a="1"/>
  <c r="Y36" i="20" s="1"/>
  <c r="Y35" i="20" a="1"/>
  <c r="Y35" i="20" s="1"/>
  <c r="Y70" i="20" a="1"/>
  <c r="Y70" i="20" s="1"/>
  <c r="Y69" i="20" a="1"/>
  <c r="Y69" i="20" s="1"/>
  <c r="Y45" i="20" a="1"/>
  <c r="Y45" i="20" s="1"/>
  <c r="Y33" i="20" a="1"/>
  <c r="Y33" i="20" s="1"/>
  <c r="Y68" i="20" a="1"/>
  <c r="Y68" i="20" s="1"/>
  <c r="Y44" i="20" a="1"/>
  <c r="Y44" i="20" s="1"/>
  <c r="Y67" i="20" a="1"/>
  <c r="Y67" i="20" s="1"/>
  <c r="Y43" i="20" a="1"/>
  <c r="Y43" i="20" s="1"/>
  <c r="Y66" i="20" a="1"/>
  <c r="Y66" i="20" s="1"/>
  <c r="Y42" i="20" a="1"/>
  <c r="Y42" i="20" s="1"/>
  <c r="Y38" i="20" a="1"/>
  <c r="Y38" i="20" s="1"/>
  <c r="Y32" i="20" a="1"/>
  <c r="Y32" i="20" s="1"/>
  <c r="Y65" i="20" a="1"/>
  <c r="Y65" i="20" s="1"/>
  <c r="Y41" i="20" a="1"/>
  <c r="Y41" i="20" s="1"/>
  <c r="Y64" i="20" a="1"/>
  <c r="Y64" i="20" s="1"/>
  <c r="Y40" i="20" a="1"/>
  <c r="Y40" i="20" s="1"/>
  <c r="Y31" i="20" a="1"/>
  <c r="Y31" i="20" s="1"/>
  <c r="AD20" i="8" a="1"/>
  <c r="AD20" i="8" s="1"/>
  <c r="AD21" i="8" a="1"/>
  <c r="AD21" i="8" s="1"/>
  <c r="V21" i="20" a="1"/>
  <c r="V21" i="20" s="1"/>
  <c r="V20" i="20" a="1"/>
  <c r="V20" i="20" s="1"/>
  <c r="V22" i="20" a="1"/>
  <c r="V22" i="20" s="1"/>
  <c r="AD22" i="8" a="1"/>
  <c r="AD22" i="8" s="1"/>
  <c r="AH64" i="8" a="1"/>
  <c r="AH64" i="8" s="1"/>
  <c r="AH35" i="8" a="1"/>
  <c r="AH35" i="8" s="1"/>
  <c r="AH67" i="8" a="1"/>
  <c r="AH67" i="8" s="1"/>
  <c r="AH41" i="8" a="1"/>
  <c r="AH41" i="8" s="1"/>
  <c r="AH32" i="8" a="1"/>
  <c r="AH32" i="8" s="1"/>
  <c r="AH43" i="8" a="1"/>
  <c r="AH43" i="8" s="1"/>
  <c r="AH66" i="8" a="1"/>
  <c r="AH66" i="8" s="1"/>
  <c r="AH33" i="8" a="1"/>
  <c r="AH33" i="8" s="1"/>
  <c r="AH31" i="8" a="1"/>
  <c r="AH31" i="8" s="1"/>
  <c r="AH40" i="8" a="1"/>
  <c r="AH40" i="8" s="1"/>
  <c r="AH65" i="8" a="1"/>
  <c r="AH65" i="8" s="1"/>
  <c r="AH42" i="8" a="1"/>
  <c r="AH42" i="8" s="1"/>
  <c r="AH34" i="8" a="1"/>
  <c r="AH34" i="8" s="1"/>
  <c r="Z36" i="20" a="1"/>
  <c r="Z36" i="20" s="1"/>
  <c r="Z34" i="20" a="1"/>
  <c r="Z34" i="20" s="1"/>
  <c r="Z70" i="20" a="1"/>
  <c r="Z70" i="20" s="1"/>
  <c r="Z69" i="20" a="1"/>
  <c r="Z69" i="20" s="1"/>
  <c r="Z45" i="20" a="1"/>
  <c r="Z45" i="20" s="1"/>
  <c r="Z33" i="20" a="1"/>
  <c r="Z33" i="20" s="1"/>
  <c r="Z44" i="20" a="1"/>
  <c r="Z44" i="20" s="1"/>
  <c r="Z68" i="20" a="1"/>
  <c r="Z68" i="20" s="1"/>
  <c r="Z32" i="20" a="1"/>
  <c r="Z32" i="20" s="1"/>
  <c r="Z67" i="20" a="1"/>
  <c r="Z67" i="20" s="1"/>
  <c r="Z43" i="20" a="1"/>
  <c r="Z43" i="20" s="1"/>
  <c r="Z31" i="20" a="1"/>
  <c r="Z31" i="20" s="1"/>
  <c r="Z66" i="20" a="1"/>
  <c r="Z66" i="20" s="1"/>
  <c r="Z42" i="20" a="1"/>
  <c r="Z42" i="20" s="1"/>
  <c r="Z40" i="20" a="1"/>
  <c r="Z40" i="20" s="1"/>
  <c r="Z65" i="20" a="1"/>
  <c r="Z65" i="20" s="1"/>
  <c r="Z41" i="20" a="1"/>
  <c r="Z41" i="20" s="1"/>
  <c r="Z64" i="20" a="1"/>
  <c r="Z64" i="20" s="1"/>
  <c r="Z38" i="20" a="1"/>
  <c r="Z38" i="20" s="1"/>
  <c r="Z35" i="20" a="1"/>
  <c r="Z35" i="20" s="1"/>
  <c r="Z37" i="20" a="1"/>
  <c r="Z37" i="20" s="1"/>
  <c r="AE22" i="8" a="1"/>
  <c r="AE22" i="8" s="1"/>
  <c r="W22" i="20" a="1"/>
  <c r="W22" i="20" s="1"/>
  <c r="AI67" i="8" a="1"/>
  <c r="AI67" i="8" s="1"/>
  <c r="AI41" i="8" a="1"/>
  <c r="AI41" i="8" s="1"/>
  <c r="AI32" i="8" a="1"/>
  <c r="AI32" i="8" s="1"/>
  <c r="AI65" i="8" a="1"/>
  <c r="AI65" i="8" s="1"/>
  <c r="AI36" i="8" a="1"/>
  <c r="AI36" i="8" s="1"/>
  <c r="AI68" i="8" a="1"/>
  <c r="AI68" i="8" s="1"/>
  <c r="AI43" i="8" a="1"/>
  <c r="AI43" i="8" s="1"/>
  <c r="AI33" i="8" a="1"/>
  <c r="AI33" i="8" s="1"/>
  <c r="AI66" i="8" a="1"/>
  <c r="AI66" i="8" s="1"/>
  <c r="AI40" i="8" a="1"/>
  <c r="AI40" i="8" s="1"/>
  <c r="AI64" i="8" a="1"/>
  <c r="AI64" i="8" s="1"/>
  <c r="AI35" i="8" a="1"/>
  <c r="AI35" i="8" s="1"/>
  <c r="AI31" i="8" a="1"/>
  <c r="AI31" i="8" s="1"/>
  <c r="AI34" i="8" a="1"/>
  <c r="AI34" i="8" s="1"/>
  <c r="AI42" i="8" a="1"/>
  <c r="AI42" i="8" s="1"/>
  <c r="AA37" i="20" a="1"/>
  <c r="AA37" i="20" s="1"/>
  <c r="AA35" i="20" a="1"/>
  <c r="AA35" i="20" s="1"/>
  <c r="AA34" i="20" a="1"/>
  <c r="AA34" i="20" s="1"/>
  <c r="AA70" i="20" a="1"/>
  <c r="AA70" i="20" s="1"/>
  <c r="AA69" i="20" a="1"/>
  <c r="AA69" i="20" s="1"/>
  <c r="AA45" i="20" a="1"/>
  <c r="AA45" i="20" s="1"/>
  <c r="AA33" i="20" a="1"/>
  <c r="AA33" i="20" s="1"/>
  <c r="AA44" i="20" a="1"/>
  <c r="AA44" i="20" s="1"/>
  <c r="AA65" i="20" a="1"/>
  <c r="AA65" i="20" s="1"/>
  <c r="AA38" i="20" a="1"/>
  <c r="AA38" i="20" s="1"/>
  <c r="AA68" i="20" a="1"/>
  <c r="AA68" i="20" s="1"/>
  <c r="AA32" i="20" a="1"/>
  <c r="AA32" i="20" s="1"/>
  <c r="AA67" i="20" a="1"/>
  <c r="AA67" i="20" s="1"/>
  <c r="AA43" i="20" a="1"/>
  <c r="AA43" i="20" s="1"/>
  <c r="AA31" i="20" a="1"/>
  <c r="AA31" i="20" s="1"/>
  <c r="AA66" i="20" a="1"/>
  <c r="AA66" i="20" s="1"/>
  <c r="AA42" i="20" a="1"/>
  <c r="AA42" i="20" s="1"/>
  <c r="AA41" i="20" a="1"/>
  <c r="AA41" i="20" s="1"/>
  <c r="AA64" i="20" a="1"/>
  <c r="AA64" i="20" s="1"/>
  <c r="AA40" i="20" a="1"/>
  <c r="AA40" i="20" s="1"/>
  <c r="AA36" i="20" a="1"/>
  <c r="AA36" i="20" s="1"/>
  <c r="AE28" i="8" a="1"/>
  <c r="AE28" i="8" s="1"/>
  <c r="W28" i="20" a="1"/>
  <c r="W28" i="20" s="1"/>
  <c r="AF20" i="8" a="1"/>
  <c r="AF20" i="8" s="1"/>
  <c r="AF21" i="8" a="1"/>
  <c r="AF21" i="8" s="1"/>
  <c r="X21" i="20" a="1"/>
  <c r="X21" i="20" s="1"/>
  <c r="X20" i="20" a="1"/>
  <c r="X20" i="20" s="1"/>
  <c r="AF22" i="8" a="1"/>
  <c r="AF22" i="8" s="1"/>
  <c r="X22" i="20" a="1"/>
  <c r="X22" i="20" s="1"/>
  <c r="AF36" i="8" a="1"/>
  <c r="AF36" i="8" s="1"/>
  <c r="AF68" i="8" a="1"/>
  <c r="AF68" i="8" s="1"/>
  <c r="AF43" i="8" a="1"/>
  <c r="AF43" i="8" s="1"/>
  <c r="X36" i="20" a="1"/>
  <c r="X36" i="20" s="1"/>
  <c r="X68" i="20" a="1"/>
  <c r="X68" i="20" s="1"/>
  <c r="X43" i="20" a="1"/>
  <c r="X43" i="20" s="1"/>
  <c r="AF28" i="8" a="1"/>
  <c r="AF28" i="8" s="1"/>
  <c r="X28" i="20" a="1"/>
  <c r="X28" i="20" s="1"/>
  <c r="AD50" i="8" a="1"/>
  <c r="AD50" i="8" s="1"/>
  <c r="V50" i="20" a="1"/>
  <c r="V50" i="20" s="1"/>
  <c r="AG36" i="8" a="1"/>
  <c r="AG36" i="8" s="1"/>
  <c r="AG68" i="8" a="1"/>
  <c r="AG68" i="8" s="1"/>
  <c r="AG43" i="8" a="1"/>
  <c r="AG43" i="8" s="1"/>
  <c r="AH36" i="8" a="1"/>
  <c r="AH36" i="8" s="1"/>
  <c r="AH68" i="8" a="1"/>
  <c r="AH68" i="8" s="1"/>
  <c r="AE29" i="8" a="1"/>
  <c r="AE29" i="8" s="1"/>
  <c r="W29" i="20" a="1"/>
  <c r="W29" i="20" s="1"/>
  <c r="AE49" i="8" a="1"/>
  <c r="AE49" i="8" s="1"/>
  <c r="W49" i="20" a="1"/>
  <c r="W49" i="20" s="1"/>
  <c r="AE50" i="8" a="1"/>
  <c r="AE50" i="8" s="1"/>
  <c r="W50" i="20" a="1"/>
  <c r="W50" i="20" s="1"/>
  <c r="AJ35" i="8" a="1"/>
  <c r="AJ35" i="8" s="1"/>
  <c r="AJ67" i="8" a="1"/>
  <c r="AJ67" i="8" s="1"/>
  <c r="AJ32" i="8" a="1"/>
  <c r="AJ32" i="8" s="1"/>
  <c r="AJ65" i="8" a="1"/>
  <c r="AJ65" i="8" s="1"/>
  <c r="AJ68" i="8" a="1"/>
  <c r="AJ68" i="8" s="1"/>
  <c r="AJ43" i="8" a="1"/>
  <c r="AJ43" i="8" s="1"/>
  <c r="AJ33" i="8" a="1"/>
  <c r="AJ33" i="8" s="1"/>
  <c r="AJ64" i="8" a="1"/>
  <c r="AJ64" i="8" s="1"/>
  <c r="AJ66" i="8" a="1"/>
  <c r="AJ66" i="8" s="1"/>
  <c r="AJ40" i="8" a="1"/>
  <c r="AJ40" i="8" s="1"/>
  <c r="AJ31" i="8" a="1"/>
  <c r="AJ31" i="8" s="1"/>
  <c r="AJ69" i="8" a="1"/>
  <c r="AJ69" i="8" s="1"/>
  <c r="AJ44" i="8" a="1"/>
  <c r="AJ44" i="8" s="1"/>
  <c r="AJ41" i="8" a="1"/>
  <c r="AJ41" i="8" s="1"/>
  <c r="AJ36" i="8" a="1"/>
  <c r="AJ36" i="8" s="1"/>
  <c r="AJ37" i="8" a="1"/>
  <c r="AJ37" i="8" s="1"/>
  <c r="AJ34" i="8" a="1"/>
  <c r="AJ34" i="8" s="1"/>
  <c r="AJ42" i="8" a="1"/>
  <c r="AJ42" i="8" s="1"/>
  <c r="AB35" i="20" a="1"/>
  <c r="AB35" i="20" s="1"/>
  <c r="AB70" i="20" a="1"/>
  <c r="AB70" i="20" s="1"/>
  <c r="AB34" i="20" a="1"/>
  <c r="AB34" i="20" s="1"/>
  <c r="AB69" i="20" a="1"/>
  <c r="AB69" i="20" s="1"/>
  <c r="AB45" i="20" a="1"/>
  <c r="AB45" i="20" s="1"/>
  <c r="AB33" i="20" a="1"/>
  <c r="AB33" i="20" s="1"/>
  <c r="AB32" i="20" a="1"/>
  <c r="AB32" i="20" s="1"/>
  <c r="AB68" i="20" a="1"/>
  <c r="AB68" i="20" s="1"/>
  <c r="AB44" i="20" a="1"/>
  <c r="AB44" i="20" s="1"/>
  <c r="AB67" i="20" a="1"/>
  <c r="AB67" i="20" s="1"/>
  <c r="AB43" i="20" a="1"/>
  <c r="AB43" i="20" s="1"/>
  <c r="AB31" i="20" a="1"/>
  <c r="AB31" i="20" s="1"/>
  <c r="AB37" i="20" a="1"/>
  <c r="AB37" i="20" s="1"/>
  <c r="AB66" i="20" a="1"/>
  <c r="AB66" i="20" s="1"/>
  <c r="AB42" i="20" a="1"/>
  <c r="AB42" i="20" s="1"/>
  <c r="AB65" i="20" a="1"/>
  <c r="AB65" i="20" s="1"/>
  <c r="AB41" i="20" a="1"/>
  <c r="AB41" i="20" s="1"/>
  <c r="AB64" i="20" a="1"/>
  <c r="AB64" i="20" s="1"/>
  <c r="AB40" i="20" a="1"/>
  <c r="AB40" i="20" s="1"/>
  <c r="AB38" i="20" a="1"/>
  <c r="AB38" i="20" s="1"/>
  <c r="AB36" i="20" a="1"/>
  <c r="AB36" i="20" s="1"/>
  <c r="AD29" i="8" a="1"/>
  <c r="AD29" i="8" s="1"/>
  <c r="V29" i="20" a="1"/>
  <c r="V29" i="20" s="1"/>
  <c r="AI26" i="8" a="1"/>
  <c r="AI26" i="8" s="1"/>
  <c r="AI21" i="8" a="1"/>
  <c r="AI21" i="8" s="1"/>
  <c r="AI27" i="8" a="1"/>
  <c r="AI27" i="8" s="1"/>
  <c r="AI25" i="8" a="1"/>
  <c r="AI25" i="8" s="1"/>
  <c r="AI20" i="8" a="1"/>
  <c r="AI20" i="8" s="1"/>
  <c r="AI23" i="8" a="1"/>
  <c r="AI23" i="8" s="1"/>
  <c r="AI22" i="8" a="1"/>
  <c r="AI22" i="8" s="1"/>
  <c r="AI24" i="8" a="1"/>
  <c r="AI24" i="8" s="1"/>
  <c r="AA23" i="20" a="1"/>
  <c r="AA23" i="20" s="1"/>
  <c r="AA22" i="20" a="1"/>
  <c r="AA22" i="20" s="1"/>
  <c r="AA21" i="20" a="1"/>
  <c r="AA21" i="20" s="1"/>
  <c r="AA20" i="20" a="1"/>
  <c r="AA20" i="20" s="1"/>
  <c r="AA29" i="20" a="1"/>
  <c r="AA29" i="20" s="1"/>
  <c r="AA26" i="20" a="1"/>
  <c r="AA26" i="20" s="1"/>
  <c r="AA24" i="20" a="1"/>
  <c r="AA24" i="20" s="1"/>
  <c r="AA28" i="20" a="1"/>
  <c r="AA28" i="20" s="1"/>
  <c r="AA27" i="20" a="1"/>
  <c r="AA27" i="20" s="1"/>
  <c r="AA25" i="20" a="1"/>
  <c r="AA25" i="20" s="1"/>
  <c r="AF29" i="8" a="1"/>
  <c r="AF29" i="8" s="1"/>
  <c r="X29" i="20" a="1"/>
  <c r="X29" i="20" s="1"/>
  <c r="AF49" i="8" a="1"/>
  <c r="AF49" i="8" s="1"/>
  <c r="X49" i="20" a="1"/>
  <c r="X49" i="20" s="1"/>
  <c r="X50" i="20" a="1"/>
  <c r="X50" i="20" s="1"/>
  <c r="AF50" i="8" a="1"/>
  <c r="AF50" i="8" s="1"/>
  <c r="AG21" i="8" a="1"/>
  <c r="AG21" i="8" s="1"/>
  <c r="AG20" i="8" a="1"/>
  <c r="AG20" i="8" s="1"/>
  <c r="AG22" i="8" a="1"/>
  <c r="AG22" i="8" s="1"/>
  <c r="Y25" i="20" a="1"/>
  <c r="Y25" i="20" s="1"/>
  <c r="Y24" i="20" a="1"/>
  <c r="Y24" i="20" s="1"/>
  <c r="Y23" i="20" a="1"/>
  <c r="Y23" i="20" s="1"/>
  <c r="Y20" i="20" a="1"/>
  <c r="Y20" i="20" s="1"/>
  <c r="Y22" i="20" a="1"/>
  <c r="Y22" i="20" s="1"/>
  <c r="Y21" i="20" a="1"/>
  <c r="Y21" i="20" s="1"/>
  <c r="Y29" i="20" a="1"/>
  <c r="Y29" i="20" s="1"/>
  <c r="Y28" i="20" a="1"/>
  <c r="Y28" i="20" s="1"/>
  <c r="Y27" i="20" a="1"/>
  <c r="Y27" i="20" s="1"/>
  <c r="Y26" i="20" a="1"/>
  <c r="Y26" i="20" s="1"/>
  <c r="AH26" i="8" a="1"/>
  <c r="AH26" i="8" s="1"/>
  <c r="AH27" i="8" a="1"/>
  <c r="AH27" i="8" s="1"/>
  <c r="AH21" i="8" a="1"/>
  <c r="AH21" i="8" s="1"/>
  <c r="AH20" i="8" a="1"/>
  <c r="AH20" i="8" s="1"/>
  <c r="AH25" i="8" a="1"/>
  <c r="AH25" i="8" s="1"/>
  <c r="AH23" i="8" a="1"/>
  <c r="AH23" i="8" s="1"/>
  <c r="AH22" i="8" a="1"/>
  <c r="AH22" i="8" s="1"/>
  <c r="AH24" i="8" a="1"/>
  <c r="AH24" i="8" s="1"/>
  <c r="Z21" i="20" a="1"/>
  <c r="Z21" i="20" s="1"/>
  <c r="Z20" i="20" a="1"/>
  <c r="Z20" i="20" s="1"/>
  <c r="Z27" i="20" a="1"/>
  <c r="Z27" i="20" s="1"/>
  <c r="Z29" i="20" a="1"/>
  <c r="Z29" i="20" s="1"/>
  <c r="Z28" i="20" a="1"/>
  <c r="Z28" i="20" s="1"/>
  <c r="Z23" i="20" a="1"/>
  <c r="Z23" i="20" s="1"/>
  <c r="Z22" i="20" a="1"/>
  <c r="Z22" i="20" s="1"/>
  <c r="Z26" i="20" a="1"/>
  <c r="Z26" i="20" s="1"/>
  <c r="Z24" i="20" a="1"/>
  <c r="Z24" i="20" s="1"/>
  <c r="Z25" i="20" a="1"/>
  <c r="Z25" i="20" s="1"/>
  <c r="AD49" i="8" a="1"/>
  <c r="AD49" i="8" s="1"/>
  <c r="V49" i="20" a="1"/>
  <c r="V49" i="20" s="1"/>
  <c r="AJ21" i="8" a="1"/>
  <c r="AJ21" i="8" s="1"/>
  <c r="AJ27" i="8" a="1"/>
  <c r="AJ27" i="8" s="1"/>
  <c r="AJ25" i="8" a="1"/>
  <c r="AJ25" i="8" s="1"/>
  <c r="AJ28" i="8" a="1"/>
  <c r="AJ28" i="8" s="1"/>
  <c r="AJ20" i="8" a="1"/>
  <c r="AJ20" i="8" s="1"/>
  <c r="AJ26" i="8" a="1"/>
  <c r="AJ26" i="8" s="1"/>
  <c r="AJ22" i="8" a="1"/>
  <c r="AJ22" i="8" s="1"/>
  <c r="AJ23" i="8" a="1"/>
  <c r="AJ23" i="8" s="1"/>
  <c r="AJ24" i="8" a="1"/>
  <c r="AJ24" i="8" s="1"/>
  <c r="AB22" i="20" a="1"/>
  <c r="AB22" i="20" s="1"/>
  <c r="AB25" i="20" a="1"/>
  <c r="AB25" i="20" s="1"/>
  <c r="AB21" i="20" a="1"/>
  <c r="AB21" i="20" s="1"/>
  <c r="AB20" i="20" a="1"/>
  <c r="AB20" i="20" s="1"/>
  <c r="AB29" i="20" a="1"/>
  <c r="AB29" i="20" s="1"/>
  <c r="AB28" i="20" a="1"/>
  <c r="AB28" i="20" s="1"/>
  <c r="AB23" i="20" a="1"/>
  <c r="AB23" i="20" s="1"/>
  <c r="AB27" i="20" a="1"/>
  <c r="AB27" i="20" s="1"/>
  <c r="AB26" i="20" a="1"/>
  <c r="AB26" i="20" s="1"/>
  <c r="AB24" i="20" a="1"/>
  <c r="AB24" i="20" s="1"/>
  <c r="AJ49" i="8" a="1"/>
  <c r="AJ49" i="8" s="1"/>
  <c r="AJ47" i="8" a="1"/>
  <c r="AJ47" i="8" s="1"/>
  <c r="AB47" i="20" a="1"/>
  <c r="AB47" i="20" s="1"/>
  <c r="AB48" i="20" a="1"/>
  <c r="AB48" i="20" s="1"/>
  <c r="AB49" i="20" a="1"/>
  <c r="AB49" i="20" s="1"/>
  <c r="AB50" i="20" a="1"/>
  <c r="AB50" i="20" s="1"/>
  <c r="AD47" i="8" a="1"/>
  <c r="AD47" i="8" s="1"/>
  <c r="V47" i="20" a="1"/>
  <c r="V47" i="20" s="1"/>
  <c r="AD27" i="8" a="1"/>
  <c r="AD27" i="8" s="1"/>
  <c r="V27" i="20" a="1"/>
  <c r="V27" i="20" s="1"/>
  <c r="V116" i="20" s="1"/>
  <c r="AD40" i="8" a="1"/>
  <c r="AD40" i="8" s="1"/>
  <c r="AD31" i="8" a="1"/>
  <c r="AD31" i="8" s="1"/>
  <c r="AD64" i="8" a="1"/>
  <c r="AD64" i="8" s="1"/>
  <c r="AD41" i="8" a="1"/>
  <c r="AD41" i="8" s="1"/>
  <c r="AD33" i="8" a="1"/>
  <c r="AD33" i="8" s="1"/>
  <c r="V40" i="20" a="1"/>
  <c r="V40" i="20" s="1"/>
  <c r="V64" i="20" a="1"/>
  <c r="V64" i="20" s="1"/>
  <c r="V41" i="20" a="1"/>
  <c r="V41" i="20" s="1"/>
  <c r="V33" i="20" a="1"/>
  <c r="V33" i="20" s="1"/>
  <c r="V31" i="20" a="1"/>
  <c r="V31" i="20" s="1"/>
  <c r="AE27" i="8" a="1"/>
  <c r="AE27" i="8" s="1"/>
  <c r="W27" i="20" a="1"/>
  <c r="W27" i="20" s="1"/>
  <c r="AF27" i="8" a="1"/>
  <c r="AF27" i="8" s="1"/>
  <c r="X27" i="20" a="1"/>
  <c r="X27" i="20" s="1"/>
  <c r="AF40" i="8" a="1"/>
  <c r="AF40" i="8" s="1"/>
  <c r="AF64" i="8" a="1"/>
  <c r="AF64" i="8" s="1"/>
  <c r="AF33" i="8" a="1"/>
  <c r="AF33" i="8" s="1"/>
  <c r="AF41" i="8" a="1"/>
  <c r="AF41" i="8" s="1"/>
  <c r="AF31" i="8" a="1"/>
  <c r="AF31" i="8" s="1"/>
  <c r="X33" i="20" a="1"/>
  <c r="X33" i="20" s="1"/>
  <c r="X31" i="20" a="1"/>
  <c r="X31" i="20" s="1"/>
  <c r="X41" i="20" a="1"/>
  <c r="X41" i="20" s="1"/>
  <c r="X40" i="20" a="1"/>
  <c r="X40" i="20" s="1"/>
  <c r="X64" i="20" a="1"/>
  <c r="X64" i="20" s="1"/>
  <c r="AE33" i="8" a="1"/>
  <c r="AE33" i="8" s="1"/>
  <c r="AE31" i="8" a="1"/>
  <c r="AE31" i="8" s="1"/>
  <c r="AE64" i="8" a="1"/>
  <c r="AE64" i="8" s="1"/>
  <c r="AE41" i="8" a="1"/>
  <c r="AE41" i="8" s="1"/>
  <c r="AE40" i="8" a="1"/>
  <c r="AE40" i="8" s="1"/>
  <c r="W33" i="20" a="1"/>
  <c r="W33" i="20" s="1"/>
  <c r="W64" i="20" a="1"/>
  <c r="W64" i="20" s="1"/>
  <c r="W31" i="20" a="1"/>
  <c r="W31" i="20" s="1"/>
  <c r="W40" i="20" a="1"/>
  <c r="W40" i="20" s="1"/>
  <c r="W41" i="20" a="1"/>
  <c r="W41" i="20" s="1"/>
  <c r="AH49" i="8" a="1"/>
  <c r="AH49" i="8" s="1"/>
  <c r="AH47" i="8" a="1"/>
  <c r="AH47" i="8" s="1"/>
  <c r="Z48" i="20" a="1"/>
  <c r="Z48" i="20" s="1"/>
  <c r="Z47" i="20" a="1"/>
  <c r="Z47" i="20" s="1"/>
  <c r="Z50" i="20" a="1"/>
  <c r="Z50" i="20" s="1"/>
  <c r="Z49" i="20" a="1"/>
  <c r="Z49" i="20" s="1"/>
  <c r="AD68" i="8" a="1"/>
  <c r="AD68" i="8" s="1"/>
  <c r="AD43" i="8" a="1"/>
  <c r="AD43" i="8" s="1"/>
  <c r="AD36" i="8" a="1"/>
  <c r="AD36" i="8" s="1"/>
  <c r="V36" i="20" a="1"/>
  <c r="V36" i="20" s="1"/>
  <c r="V68" i="20" a="1"/>
  <c r="V68" i="20" s="1"/>
  <c r="V43" i="20" a="1"/>
  <c r="V43" i="20" s="1"/>
  <c r="AD28" i="8" a="1"/>
  <c r="AD28" i="8" s="1"/>
  <c r="V28" i="20" a="1"/>
  <c r="V28" i="20" s="1"/>
  <c r="AE21" i="8" a="1"/>
  <c r="AE21" i="8" s="1"/>
  <c r="AE20" i="8" a="1"/>
  <c r="AE20" i="8" s="1"/>
  <c r="W21" i="20" a="1"/>
  <c r="W21" i="20" s="1"/>
  <c r="W20" i="20" a="1"/>
  <c r="W20" i="20" s="1"/>
  <c r="S20" i="20" s="1"/>
  <c r="AI49" i="8" a="1"/>
  <c r="AI49" i="8" s="1"/>
  <c r="AI47" i="8" a="1"/>
  <c r="AI47" i="8" s="1"/>
  <c r="AA49" i="20" a="1"/>
  <c r="AA49" i="20" s="1"/>
  <c r="AA47" i="20" a="1"/>
  <c r="AA47" i="20" s="1"/>
  <c r="AA50" i="20" a="1"/>
  <c r="AA50" i="20" s="1"/>
  <c r="AA48" i="20" a="1"/>
  <c r="AA48" i="20" s="1"/>
  <c r="AE68" i="8" a="1"/>
  <c r="AE68" i="8" s="1"/>
  <c r="AE43" i="8" a="1"/>
  <c r="AE43" i="8" s="1"/>
  <c r="AE36" i="8" a="1"/>
  <c r="AE36" i="8" s="1"/>
  <c r="W36" i="20" a="1"/>
  <c r="W36" i="20" s="1"/>
  <c r="W68" i="20" a="1"/>
  <c r="W68" i="20" s="1"/>
  <c r="W43" i="20" a="1"/>
  <c r="W43" i="20" s="1"/>
  <c r="AL30" i="18"/>
  <c r="R33" i="6" s="1"/>
  <c r="AK30" i="18"/>
  <c r="Q33" i="6" s="1"/>
  <c r="AJ30" i="18"/>
  <c r="P33" i="6" s="1"/>
  <c r="AI30" i="18"/>
  <c r="O33" i="6" s="1"/>
  <c r="AH30" i="18"/>
  <c r="N33" i="6" s="1"/>
  <c r="AG30" i="18"/>
  <c r="M33" i="6" s="1"/>
  <c r="AF30" i="18"/>
  <c r="L33" i="6" s="1"/>
  <c r="AE30" i="18"/>
  <c r="K33" i="6" s="1"/>
  <c r="AL29" i="18"/>
  <c r="R32" i="6" s="1"/>
  <c r="AK29" i="18"/>
  <c r="Q32" i="6" s="1"/>
  <c r="AJ29" i="18"/>
  <c r="P32" i="6" s="1"/>
  <c r="AI29" i="18"/>
  <c r="O32" i="6" s="1"/>
  <c r="AH29" i="18"/>
  <c r="N32" i="6" s="1"/>
  <c r="AG29" i="18"/>
  <c r="M32" i="6" s="1"/>
  <c r="AF29" i="18"/>
  <c r="L32" i="6" s="1"/>
  <c r="AE29" i="18"/>
  <c r="K32" i="6" s="1"/>
  <c r="AL40" i="18"/>
  <c r="R43" i="6" s="1"/>
  <c r="AK40" i="18"/>
  <c r="Q43" i="6" s="1"/>
  <c r="AJ40" i="18"/>
  <c r="P43" i="6" s="1"/>
  <c r="AI40" i="18"/>
  <c r="O43" i="6" s="1"/>
  <c r="AH40" i="18"/>
  <c r="N43" i="6" s="1"/>
  <c r="AG40" i="18"/>
  <c r="M43" i="6" s="1"/>
  <c r="AF40" i="18"/>
  <c r="L43" i="6" s="1"/>
  <c r="AE40" i="18"/>
  <c r="K43" i="6" s="1"/>
  <c r="AL5" i="18"/>
  <c r="R8" i="6" s="1"/>
  <c r="AK5" i="18"/>
  <c r="Q8" i="6" s="1"/>
  <c r="AJ5" i="18"/>
  <c r="P8" i="6" s="1"/>
  <c r="AI5" i="18"/>
  <c r="O8" i="6" s="1"/>
  <c r="AH5" i="18"/>
  <c r="N8" i="6" s="1"/>
  <c r="AG23" i="8" s="1" a="1"/>
  <c r="AG23" i="8" s="1"/>
  <c r="AG5" i="18"/>
  <c r="M8" i="6" s="1"/>
  <c r="AF5" i="18"/>
  <c r="L8" i="6" s="1"/>
  <c r="AE5" i="18"/>
  <c r="K8" i="6" s="1"/>
  <c r="AL21" i="18"/>
  <c r="R24" i="6" s="1"/>
  <c r="AJ48" i="8" s="1" a="1"/>
  <c r="AJ48" i="8" s="1"/>
  <c r="AK21" i="18"/>
  <c r="Q24" i="6" s="1"/>
  <c r="AJ21" i="18"/>
  <c r="P24" i="6" s="1"/>
  <c r="AI48" i="8" s="1" a="1"/>
  <c r="AI48" i="8" s="1"/>
  <c r="AI21" i="18"/>
  <c r="O24" i="6" s="1"/>
  <c r="AH48" i="8" s="1" a="1"/>
  <c r="AH48" i="8" s="1"/>
  <c r="AH21" i="18"/>
  <c r="N24" i="6" s="1"/>
  <c r="AG48" i="8" s="1" a="1"/>
  <c r="AG48" i="8" s="1"/>
  <c r="AG21" i="18"/>
  <c r="M24" i="6" s="1"/>
  <c r="AF21" i="18"/>
  <c r="L24" i="6" s="1"/>
  <c r="AE21" i="18"/>
  <c r="K24" i="6" s="1"/>
  <c r="AL58" i="18"/>
  <c r="R61" i="6" s="1"/>
  <c r="AK58" i="18"/>
  <c r="Q61" i="6" s="1"/>
  <c r="AJ58" i="18"/>
  <c r="P61" i="6" s="1"/>
  <c r="AI58" i="18"/>
  <c r="O61" i="6" s="1"/>
  <c r="AH58" i="18"/>
  <c r="N61" i="6" s="1"/>
  <c r="AG58" i="18"/>
  <c r="M61" i="6" s="1"/>
  <c r="AF58" i="18"/>
  <c r="L61" i="6" s="1"/>
  <c r="AE58" i="18"/>
  <c r="K61" i="6" s="1"/>
  <c r="AL46" i="18"/>
  <c r="R49" i="6" s="1"/>
  <c r="AJ73" i="8" s="1" a="1"/>
  <c r="AJ73" i="8" s="1"/>
  <c r="AK46" i="18"/>
  <c r="Q49" i="6" s="1"/>
  <c r="AJ46" i="18"/>
  <c r="P49" i="6" s="1"/>
  <c r="AI73" i="8" s="1" a="1"/>
  <c r="AI73" i="8" s="1"/>
  <c r="AI46" i="18"/>
  <c r="O49" i="6" s="1"/>
  <c r="AH73" i="8" s="1" a="1"/>
  <c r="AH73" i="8" s="1"/>
  <c r="AH46" i="18"/>
  <c r="N49" i="6" s="1"/>
  <c r="AG73" i="8" s="1" a="1"/>
  <c r="AG73" i="8" s="1"/>
  <c r="AG46" i="18"/>
  <c r="M49" i="6" s="1"/>
  <c r="AF46" i="18"/>
  <c r="L49" i="6" s="1"/>
  <c r="AE46" i="18"/>
  <c r="K49" i="6" s="1"/>
  <c r="AL53" i="18"/>
  <c r="R56" i="6" s="1"/>
  <c r="AK53" i="18"/>
  <c r="Q56" i="6" s="1"/>
  <c r="AJ53" i="18"/>
  <c r="P56" i="6" s="1"/>
  <c r="AI53" i="18"/>
  <c r="O56" i="6" s="1"/>
  <c r="AH53" i="18"/>
  <c r="N56" i="6" s="1"/>
  <c r="AG53" i="18"/>
  <c r="M56" i="6" s="1"/>
  <c r="AF53" i="18"/>
  <c r="L56" i="6" s="1"/>
  <c r="AE53" i="18"/>
  <c r="K56" i="6" s="1"/>
  <c r="AL52" i="18"/>
  <c r="R55" i="6" s="1"/>
  <c r="AK52" i="18"/>
  <c r="Q55" i="6" s="1"/>
  <c r="AJ52" i="18"/>
  <c r="P55" i="6" s="1"/>
  <c r="AI52" i="18"/>
  <c r="O55" i="6" s="1"/>
  <c r="AH52" i="18"/>
  <c r="N55" i="6" s="1"/>
  <c r="AG52" i="18"/>
  <c r="M55" i="6" s="1"/>
  <c r="AF52" i="18"/>
  <c r="L55" i="6" s="1"/>
  <c r="AE52" i="18"/>
  <c r="K55" i="6" s="1"/>
  <c r="AL51" i="18"/>
  <c r="R54" i="6" s="1"/>
  <c r="AK51" i="18"/>
  <c r="Q54" i="6" s="1"/>
  <c r="AJ51" i="18"/>
  <c r="P54" i="6" s="1"/>
  <c r="AI51" i="18"/>
  <c r="O54" i="6" s="1"/>
  <c r="AH51" i="18"/>
  <c r="N54" i="6" s="1"/>
  <c r="AG51" i="18"/>
  <c r="M54" i="6" s="1"/>
  <c r="AF51" i="18"/>
  <c r="L54" i="6" s="1"/>
  <c r="AE51" i="18"/>
  <c r="K54" i="6" s="1"/>
  <c r="AL50" i="18"/>
  <c r="R53" i="6" s="1"/>
  <c r="AK50" i="18"/>
  <c r="Q53" i="6" s="1"/>
  <c r="AJ50" i="18"/>
  <c r="P53" i="6" s="1"/>
  <c r="AI50" i="18"/>
  <c r="O53" i="6" s="1"/>
  <c r="AH50" i="18"/>
  <c r="N53" i="6" s="1"/>
  <c r="AG50" i="18"/>
  <c r="M53" i="6" s="1"/>
  <c r="AF50" i="18"/>
  <c r="L53" i="6" s="1"/>
  <c r="AE50" i="18"/>
  <c r="K53" i="6" s="1"/>
  <c r="AL49" i="18"/>
  <c r="R52" i="6" s="1"/>
  <c r="AK49" i="18"/>
  <c r="Q52" i="6" s="1"/>
  <c r="AJ49" i="18"/>
  <c r="P52" i="6" s="1"/>
  <c r="AI49" i="18"/>
  <c r="O52" i="6" s="1"/>
  <c r="AH49" i="18"/>
  <c r="N52" i="6" s="1"/>
  <c r="AG49" i="18"/>
  <c r="M52" i="6" s="1"/>
  <c r="AF49" i="18"/>
  <c r="L52" i="6" s="1"/>
  <c r="AE49" i="18"/>
  <c r="K52" i="6" s="1"/>
  <c r="AL48" i="18"/>
  <c r="R51" i="6" s="1"/>
  <c r="AK48" i="18"/>
  <c r="Q51" i="6" s="1"/>
  <c r="AJ48" i="18"/>
  <c r="P51" i="6" s="1"/>
  <c r="AI48" i="18"/>
  <c r="O51" i="6" s="1"/>
  <c r="AH48" i="18"/>
  <c r="N51" i="6" s="1"/>
  <c r="AG48" i="18"/>
  <c r="M51" i="6" s="1"/>
  <c r="AF48" i="18"/>
  <c r="L51" i="6" s="1"/>
  <c r="AE48" i="18"/>
  <c r="K51" i="6" s="1"/>
  <c r="AL47" i="18"/>
  <c r="R50" i="6" s="1"/>
  <c r="AK47" i="18"/>
  <c r="Q50" i="6" s="1"/>
  <c r="AJ47" i="18"/>
  <c r="P50" i="6" s="1"/>
  <c r="AI47" i="18"/>
  <c r="O50" i="6" s="1"/>
  <c r="AH47" i="18"/>
  <c r="N50" i="6" s="1"/>
  <c r="AG47" i="18"/>
  <c r="M50" i="6" s="1"/>
  <c r="AF47" i="18"/>
  <c r="L50" i="6" s="1"/>
  <c r="AE47" i="18"/>
  <c r="K50" i="6" s="1"/>
  <c r="AL45" i="18"/>
  <c r="R48" i="6" s="1"/>
  <c r="AK45" i="18"/>
  <c r="Q48" i="6" s="1"/>
  <c r="AJ45" i="18"/>
  <c r="P48" i="6" s="1"/>
  <c r="AI45" i="18"/>
  <c r="O48" i="6" s="1"/>
  <c r="AH45" i="18"/>
  <c r="N48" i="6" s="1"/>
  <c r="AG45" i="18"/>
  <c r="M48" i="6" s="1"/>
  <c r="AF45" i="18"/>
  <c r="L48" i="6" s="1"/>
  <c r="AE45" i="18"/>
  <c r="K48" i="6" s="1"/>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AQ14" i="17"/>
  <c r="AL14" i="17"/>
  <c r="Z116" i="20" l="1"/>
  <c r="AA116" i="20"/>
  <c r="Y116" i="20"/>
  <c r="AG74" i="8" a="1"/>
  <c r="AG74" i="8" s="1"/>
  <c r="AG79" i="8" a="1"/>
  <c r="AG79" i="8" s="1"/>
  <c r="AG84" i="8" a="1"/>
  <c r="AG84" i="8" s="1"/>
  <c r="AD78" i="8" a="1"/>
  <c r="AD78" i="8" s="1"/>
  <c r="AD83" i="8" a="1"/>
  <c r="AD83" i="8" s="1"/>
  <c r="AD72" i="8" a="1"/>
  <c r="AD72" i="8" s="1"/>
  <c r="V72" i="20" a="1"/>
  <c r="V72" i="20" s="1"/>
  <c r="V83" i="20" a="1"/>
  <c r="V83" i="20" s="1"/>
  <c r="V78" i="20" a="1"/>
  <c r="V78" i="20" s="1"/>
  <c r="AH74" i="8" a="1"/>
  <c r="AH74" i="8" s="1"/>
  <c r="AH79" i="8" a="1"/>
  <c r="AH79" i="8" s="1"/>
  <c r="AH84" i="8" a="1"/>
  <c r="AH84" i="8" s="1"/>
  <c r="AH76" i="8" a="1"/>
  <c r="AH76" i="8" s="1"/>
  <c r="AH81" i="8" a="1"/>
  <c r="AH81" i="8" s="1"/>
  <c r="AH86" i="8" a="1"/>
  <c r="AH86" i="8" s="1"/>
  <c r="AD92" i="8" a="1"/>
  <c r="AD92" i="8" s="1"/>
  <c r="AD96" i="8" a="1"/>
  <c r="AD96" i="8" s="1"/>
  <c r="V96" i="20" a="1"/>
  <c r="V96" i="20" s="1"/>
  <c r="V92" i="20" a="1"/>
  <c r="V92" i="20" s="1"/>
  <c r="AD70" i="8" a="1"/>
  <c r="AD70" i="8" s="1"/>
  <c r="V38" i="20" a="1"/>
  <c r="V38" i="20" s="1"/>
  <c r="AD45" i="8" a="1"/>
  <c r="AD45" i="8" s="1"/>
  <c r="V70" i="20" a="1"/>
  <c r="V70" i="20" s="1"/>
  <c r="V45" i="20" a="1"/>
  <c r="V45" i="20" s="1"/>
  <c r="AD38" i="8" a="1"/>
  <c r="AD38" i="8" s="1"/>
  <c r="AE78" i="8" a="1"/>
  <c r="AE78" i="8" s="1"/>
  <c r="AE83" i="8" a="1"/>
  <c r="AE83" i="8" s="1"/>
  <c r="AE72" i="8" a="1"/>
  <c r="AE72" i="8" s="1"/>
  <c r="W72" i="20" a="1"/>
  <c r="W72" i="20" s="1"/>
  <c r="W83" i="20" a="1"/>
  <c r="W83" i="20" s="1"/>
  <c r="W78" i="20" a="1"/>
  <c r="W78" i="20" s="1"/>
  <c r="AF70" i="8" a="1"/>
  <c r="AF70" i="8" s="1"/>
  <c r="AF38" i="8" a="1"/>
  <c r="AF38" i="8" s="1"/>
  <c r="AF45" i="8" a="1"/>
  <c r="AF45" i="8" s="1"/>
  <c r="X70" i="20" a="1"/>
  <c r="X70" i="20" s="1"/>
  <c r="X45" i="20" a="1"/>
  <c r="X45" i="20" s="1"/>
  <c r="X38" i="20" a="1"/>
  <c r="X38" i="20" s="1"/>
  <c r="AI81" i="8" a="1"/>
  <c r="AI81" i="8" s="1"/>
  <c r="AI86" i="8" a="1"/>
  <c r="AI86" i="8" s="1"/>
  <c r="AI76" i="8" a="1"/>
  <c r="AI76" i="8" s="1"/>
  <c r="AG96" i="8" a="1"/>
  <c r="AG96" i="8" s="1"/>
  <c r="AG92" i="8" a="1"/>
  <c r="AG92" i="8" s="1"/>
  <c r="Y97" i="20" a="1"/>
  <c r="Y97" i="20" s="1"/>
  <c r="Y96" i="20" a="1"/>
  <c r="Y96" i="20" s="1"/>
  <c r="Y94" i="20" a="1"/>
  <c r="Y94" i="20" s="1"/>
  <c r="Y93" i="20" a="1"/>
  <c r="Y93" i="20" s="1"/>
  <c r="Y92" i="20" a="1"/>
  <c r="Y92" i="20" s="1"/>
  <c r="Y98" i="20" a="1"/>
  <c r="Y98" i="20" s="1"/>
  <c r="AG70" i="8" a="1"/>
  <c r="AG70" i="8" s="1"/>
  <c r="AG45" i="8" a="1"/>
  <c r="AG45" i="8" s="1"/>
  <c r="AG38" i="8" a="1"/>
  <c r="AG38" i="8" s="1"/>
  <c r="AF78" i="8" a="1"/>
  <c r="AF78" i="8" s="1"/>
  <c r="AF83" i="8" a="1"/>
  <c r="AF83" i="8" s="1"/>
  <c r="AF72" i="8" a="1"/>
  <c r="AF72" i="8" s="1"/>
  <c r="X72" i="20" a="1"/>
  <c r="X72" i="20" s="1"/>
  <c r="X83" i="20" a="1"/>
  <c r="X83" i="20" s="1"/>
  <c r="X78" i="20" a="1"/>
  <c r="X78" i="20" s="1"/>
  <c r="AG83" i="8" a="1"/>
  <c r="AG83" i="8" s="1"/>
  <c r="AG78" i="8" a="1"/>
  <c r="AG78" i="8" s="1"/>
  <c r="AG72" i="8" a="1"/>
  <c r="AG72" i="8" s="1"/>
  <c r="Y85" i="20" a="1"/>
  <c r="Y85" i="20" s="1"/>
  <c r="Y73" i="20" a="1"/>
  <c r="Y73" i="20" s="1"/>
  <c r="Y84" i="20" a="1"/>
  <c r="Y84" i="20" s="1"/>
  <c r="Y72" i="20" a="1"/>
  <c r="Y72" i="20" s="1"/>
  <c r="Y83" i="20" a="1"/>
  <c r="Y83" i="20" s="1"/>
  <c r="Y81" i="20" a="1"/>
  <c r="Y81" i="20" s="1"/>
  <c r="Y80" i="20" a="1"/>
  <c r="Y80" i="20" s="1"/>
  <c r="Y79" i="20" a="1"/>
  <c r="Y79" i="20" s="1"/>
  <c r="Y78" i="20" a="1"/>
  <c r="Y78" i="20" s="1"/>
  <c r="Y86" i="20" a="1"/>
  <c r="Y86" i="20" s="1"/>
  <c r="Y76" i="20" a="1"/>
  <c r="Y76" i="20" s="1"/>
  <c r="Y75" i="20" a="1"/>
  <c r="Y75" i="20" s="1"/>
  <c r="Y74" i="20" a="1"/>
  <c r="Y74" i="20" s="1"/>
  <c r="AJ86" i="8" a="1"/>
  <c r="AJ86" i="8" s="1"/>
  <c r="AJ76" i="8" a="1"/>
  <c r="AJ76" i="8" s="1"/>
  <c r="AJ81" i="8" a="1"/>
  <c r="AJ81" i="8" s="1"/>
  <c r="X116" i="20"/>
  <c r="S27" i="20"/>
  <c r="AF96" i="8" a="1"/>
  <c r="AF96" i="8" s="1"/>
  <c r="AF92" i="8" a="1"/>
  <c r="AF92" i="8" s="1"/>
  <c r="X96" i="20" a="1"/>
  <c r="X96" i="20" s="1"/>
  <c r="X92" i="20" a="1"/>
  <c r="X92" i="20" s="1"/>
  <c r="AH72" i="8" a="1"/>
  <c r="AH72" i="8" s="1"/>
  <c r="AH78" i="8" a="1"/>
  <c r="AH78" i="8" s="1"/>
  <c r="AH83" i="8" a="1"/>
  <c r="AH83" i="8" s="1"/>
  <c r="Z84" i="20" a="1"/>
  <c r="Z84" i="20" s="1"/>
  <c r="Z72" i="20" a="1"/>
  <c r="Z72" i="20" s="1"/>
  <c r="Z83" i="20" a="1"/>
  <c r="Z83" i="20" s="1"/>
  <c r="Z81" i="20" a="1"/>
  <c r="Z81" i="20" s="1"/>
  <c r="Z80" i="20" a="1"/>
  <c r="Z80" i="20" s="1"/>
  <c r="Z79" i="20" a="1"/>
  <c r="Z79" i="20" s="1"/>
  <c r="Z78" i="20" a="1"/>
  <c r="Z78" i="20" s="1"/>
  <c r="Z76" i="20" a="1"/>
  <c r="Z76" i="20" s="1"/>
  <c r="Z75" i="20" a="1"/>
  <c r="Z75" i="20" s="1"/>
  <c r="Z86" i="20" a="1"/>
  <c r="Z86" i="20" s="1"/>
  <c r="Z74" i="20" a="1"/>
  <c r="Z74" i="20" s="1"/>
  <c r="Z85" i="20" a="1"/>
  <c r="Z85" i="20" s="1"/>
  <c r="Z73" i="20" a="1"/>
  <c r="Z73" i="20" s="1"/>
  <c r="AD80" i="8" a="1"/>
  <c r="AD80" i="8" s="1"/>
  <c r="AD85" i="8" a="1"/>
  <c r="AD85" i="8" s="1"/>
  <c r="AD75" i="8" a="1"/>
  <c r="AD75" i="8" s="1"/>
  <c r="V75" i="20" a="1"/>
  <c r="V75" i="20" s="1"/>
  <c r="V85" i="20" a="1"/>
  <c r="V85" i="20" s="1"/>
  <c r="V80" i="20" a="1"/>
  <c r="V80" i="20" s="1"/>
  <c r="AD73" i="8" a="1"/>
  <c r="AD73" i="8" s="1"/>
  <c r="V73" i="20" a="1"/>
  <c r="V73" i="20" s="1"/>
  <c r="AH96" i="8" a="1"/>
  <c r="AH96" i="8" s="1"/>
  <c r="AH92" i="8" a="1"/>
  <c r="AH92" i="8" s="1"/>
  <c r="Z96" i="20" a="1"/>
  <c r="Z96" i="20" s="1"/>
  <c r="Z94" i="20" a="1"/>
  <c r="Z94" i="20" s="1"/>
  <c r="Z93" i="20" a="1"/>
  <c r="Z93" i="20" s="1"/>
  <c r="Z92" i="20" a="1"/>
  <c r="Z92" i="20" s="1"/>
  <c r="Z98" i="20" a="1"/>
  <c r="Z98" i="20" s="1"/>
  <c r="Z97" i="20" a="1"/>
  <c r="Z97" i="20" s="1"/>
  <c r="V23" i="20" a="1"/>
  <c r="V23" i="20" s="1"/>
  <c r="AD23" i="8" a="1"/>
  <c r="AD23" i="8" s="1"/>
  <c r="AH70" i="8" a="1"/>
  <c r="AH70" i="8" s="1"/>
  <c r="AH38" i="8" a="1"/>
  <c r="AH38" i="8" s="1"/>
  <c r="AH45" i="8" a="1"/>
  <c r="AH45" i="8" s="1"/>
  <c r="AD32" i="8" a="1"/>
  <c r="AD32" i="8" s="1"/>
  <c r="AD65" i="8" a="1"/>
  <c r="AD65" i="8" s="1"/>
  <c r="V32" i="20" a="1"/>
  <c r="V32" i="20" s="1"/>
  <c r="V65" i="20" a="1"/>
  <c r="V65" i="20" s="1"/>
  <c r="AI74" i="8" a="1"/>
  <c r="AI74" i="8" s="1"/>
  <c r="AI79" i="8" a="1"/>
  <c r="AI79" i="8" s="1"/>
  <c r="AI84" i="8" a="1"/>
  <c r="AI84" i="8" s="1"/>
  <c r="AI72" i="8" a="1"/>
  <c r="AI72" i="8" s="1"/>
  <c r="AI75" i="8" a="1"/>
  <c r="AI75" i="8" s="1"/>
  <c r="AI83" i="8" a="1"/>
  <c r="AI83" i="8" s="1"/>
  <c r="AI78" i="8" a="1"/>
  <c r="AI78" i="8" s="1"/>
  <c r="AA85" i="20" a="1"/>
  <c r="AA85" i="20" s="1"/>
  <c r="AA73" i="20" a="1"/>
  <c r="AA73" i="20" s="1"/>
  <c r="AA84" i="20" a="1"/>
  <c r="AA84" i="20" s="1"/>
  <c r="AA72" i="20" a="1"/>
  <c r="AA72" i="20" s="1"/>
  <c r="AA83" i="20" a="1"/>
  <c r="AA83" i="20" s="1"/>
  <c r="AA81" i="20" a="1"/>
  <c r="AA81" i="20" s="1"/>
  <c r="AA80" i="20" a="1"/>
  <c r="AA80" i="20" s="1"/>
  <c r="AA79" i="20" a="1"/>
  <c r="AA79" i="20" s="1"/>
  <c r="AA78" i="20" a="1"/>
  <c r="AA78" i="20" s="1"/>
  <c r="AA76" i="20" a="1"/>
  <c r="AA76" i="20" s="1"/>
  <c r="AA86" i="20" a="1"/>
  <c r="AA86" i="20" s="1"/>
  <c r="AA75" i="20" a="1"/>
  <c r="AA75" i="20" s="1"/>
  <c r="AA74" i="20" a="1"/>
  <c r="AA74" i="20" s="1"/>
  <c r="AE85" i="8" a="1"/>
  <c r="AE85" i="8" s="1"/>
  <c r="AE75" i="8" a="1"/>
  <c r="AE75" i="8" s="1"/>
  <c r="AE80" i="8" a="1"/>
  <c r="AE80" i="8" s="1"/>
  <c r="W75" i="20" a="1"/>
  <c r="W75" i="20" s="1"/>
  <c r="W85" i="20" a="1"/>
  <c r="W85" i="20" s="1"/>
  <c r="W80" i="20" a="1"/>
  <c r="W80" i="20" s="1"/>
  <c r="AE73" i="8" a="1"/>
  <c r="AE73" i="8" s="1"/>
  <c r="W73" i="20" a="1"/>
  <c r="W73" i="20" s="1"/>
  <c r="AI96" i="8" a="1"/>
  <c r="AI96" i="8" s="1"/>
  <c r="AI92" i="8" a="1"/>
  <c r="AI92" i="8" s="1"/>
  <c r="AA97" i="20" a="1"/>
  <c r="AA97" i="20" s="1"/>
  <c r="AA96" i="20" a="1"/>
  <c r="AA96" i="20" s="1"/>
  <c r="AA94" i="20" a="1"/>
  <c r="AA94" i="20" s="1"/>
  <c r="AA93" i="20" a="1"/>
  <c r="AA93" i="20" s="1"/>
  <c r="AA92" i="20" a="1"/>
  <c r="AA92" i="20" s="1"/>
  <c r="AA98" i="20" a="1"/>
  <c r="AA98" i="20" s="1"/>
  <c r="AE23" i="8" a="1"/>
  <c r="AE23" i="8" s="1"/>
  <c r="W23" i="20" a="1"/>
  <c r="W23" i="20" s="1"/>
  <c r="AI70" i="8" a="1"/>
  <c r="AI70" i="8" s="1"/>
  <c r="AI38" i="8" a="1"/>
  <c r="AI38" i="8" s="1"/>
  <c r="AI45" i="8" a="1"/>
  <c r="AI45" i="8" s="1"/>
  <c r="AE32" i="8" a="1"/>
  <c r="AE32" i="8" s="1"/>
  <c r="AE65" i="8" a="1"/>
  <c r="AE65" i="8" s="1"/>
  <c r="W32" i="20" a="1"/>
  <c r="W32" i="20" s="1"/>
  <c r="W65" i="20" a="1"/>
  <c r="W65" i="20" s="1"/>
  <c r="AE96" i="8" a="1"/>
  <c r="AE96" i="8" s="1"/>
  <c r="AE92" i="8" a="1"/>
  <c r="AE92" i="8" s="1"/>
  <c r="W96" i="20" a="1"/>
  <c r="W96" i="20" s="1"/>
  <c r="W92" i="20" a="1"/>
  <c r="W92" i="20" s="1"/>
  <c r="AE70" i="8" a="1"/>
  <c r="AE70" i="8" s="1"/>
  <c r="AE45" i="8" a="1"/>
  <c r="AE45" i="8" s="1"/>
  <c r="AE38" i="8" a="1"/>
  <c r="AE38" i="8" s="1"/>
  <c r="W38" i="20" a="1"/>
  <c r="W38" i="20" s="1"/>
  <c r="W70" i="20" a="1"/>
  <c r="W70" i="20" s="1"/>
  <c r="W45" i="20" a="1"/>
  <c r="W45" i="20" s="1"/>
  <c r="AF80" i="8" a="1"/>
  <c r="AF80" i="8" s="1"/>
  <c r="AF75" i="8" a="1"/>
  <c r="AF75" i="8" s="1"/>
  <c r="AF85" i="8" a="1"/>
  <c r="AF85" i="8" s="1"/>
  <c r="X85" i="20" a="1"/>
  <c r="X85" i="20" s="1"/>
  <c r="X80" i="20" a="1"/>
  <c r="X80" i="20" s="1"/>
  <c r="X75" i="20" a="1"/>
  <c r="X75" i="20" s="1"/>
  <c r="AG75" i="8" a="1"/>
  <c r="AG75" i="8" s="1"/>
  <c r="AG80" i="8" a="1"/>
  <c r="AG80" i="8" s="1"/>
  <c r="AG85" i="8" a="1"/>
  <c r="AG85" i="8" s="1"/>
  <c r="AJ70" i="8" a="1"/>
  <c r="AJ70" i="8" s="1"/>
  <c r="AJ45" i="8" a="1"/>
  <c r="AJ45" i="8" s="1"/>
  <c r="AJ38" i="8" a="1"/>
  <c r="AJ38" i="8" s="1"/>
  <c r="AG65" i="8" a="1"/>
  <c r="AG65" i="8" s="1"/>
  <c r="AG32" i="8" a="1"/>
  <c r="AG32" i="8" s="1"/>
  <c r="AJ74" i="8" a="1"/>
  <c r="AJ74" i="8" s="1"/>
  <c r="AJ79" i="8" a="1"/>
  <c r="AJ79" i="8" s="1"/>
  <c r="AJ84" i="8" a="1"/>
  <c r="AJ84" i="8" s="1"/>
  <c r="AJ72" i="8" a="1"/>
  <c r="AJ72" i="8" s="1"/>
  <c r="AJ80" i="8" a="1"/>
  <c r="AJ80" i="8" s="1"/>
  <c r="AJ85" i="8" a="1"/>
  <c r="AJ85" i="8" s="1"/>
  <c r="AJ78" i="8" a="1"/>
  <c r="AJ78" i="8" s="1"/>
  <c r="AJ83" i="8" a="1"/>
  <c r="AJ83" i="8" s="1"/>
  <c r="AJ75" i="8" a="1"/>
  <c r="AJ75" i="8" s="1"/>
  <c r="AB83" i="20" a="1"/>
  <c r="AB83" i="20" s="1"/>
  <c r="AB81" i="20" a="1"/>
  <c r="AB81" i="20" s="1"/>
  <c r="AB84" i="20" a="1"/>
  <c r="AB84" i="20" s="1"/>
  <c r="AB80" i="20" a="1"/>
  <c r="AB80" i="20" s="1"/>
  <c r="AB72" i="20" a="1"/>
  <c r="AB72" i="20" s="1"/>
  <c r="AB79" i="20" a="1"/>
  <c r="AB79" i="20" s="1"/>
  <c r="AB78" i="20" a="1"/>
  <c r="AB78" i="20" s="1"/>
  <c r="AB76" i="20" a="1"/>
  <c r="AB76" i="20" s="1"/>
  <c r="AB75" i="20" a="1"/>
  <c r="AB75" i="20" s="1"/>
  <c r="AB74" i="20" a="1"/>
  <c r="AB74" i="20" s="1"/>
  <c r="AB86" i="20" a="1"/>
  <c r="AB86" i="20" s="1"/>
  <c r="AB85" i="20" a="1"/>
  <c r="AB85" i="20" s="1"/>
  <c r="AB73" i="20" a="1"/>
  <c r="AB73" i="20" s="1"/>
  <c r="AJ96" i="8" a="1"/>
  <c r="AJ96" i="8" s="1"/>
  <c r="AJ92" i="8" a="1"/>
  <c r="AJ92" i="8" s="1"/>
  <c r="AJ97" i="8" a="1"/>
  <c r="AJ97" i="8" s="1"/>
  <c r="AJ93" i="8" a="1"/>
  <c r="AJ93" i="8" s="1"/>
  <c r="AB94" i="20" a="1"/>
  <c r="AB94" i="20" s="1"/>
  <c r="AB93" i="20" a="1"/>
  <c r="AB93" i="20" s="1"/>
  <c r="AB92" i="20" a="1"/>
  <c r="AB92" i="20" s="1"/>
  <c r="AB98" i="20" a="1"/>
  <c r="AB98" i="20" s="1"/>
  <c r="AB97" i="20" a="1"/>
  <c r="AB97" i="20" s="1"/>
  <c r="AB96" i="20" a="1"/>
  <c r="AB96" i="20" s="1"/>
  <c r="AD74" i="8" a="1"/>
  <c r="AD74" i="8" s="1"/>
  <c r="AD79" i="8" a="1"/>
  <c r="AD79" i="8" s="1"/>
  <c r="AD84" i="8" a="1"/>
  <c r="AD84" i="8" s="1"/>
  <c r="V74" i="20" a="1"/>
  <c r="V74" i="20" s="1"/>
  <c r="V84" i="20" a="1"/>
  <c r="V84" i="20" s="1"/>
  <c r="V79" i="20" a="1"/>
  <c r="V79" i="20" s="1"/>
  <c r="AH75" i="8" a="1"/>
  <c r="AH75" i="8" s="1"/>
  <c r="AH80" i="8" a="1"/>
  <c r="AH80" i="8" s="1"/>
  <c r="AH85" i="8" a="1"/>
  <c r="AH85" i="8" s="1"/>
  <c r="AD76" i="8" a="1"/>
  <c r="AD76" i="8" s="1"/>
  <c r="AD86" i="8" a="1"/>
  <c r="AD86" i="8" s="1"/>
  <c r="AD81" i="8" a="1"/>
  <c r="AD81" i="8" s="1"/>
  <c r="V86" i="20" a="1"/>
  <c r="V86" i="20" s="1"/>
  <c r="V81" i="20" a="1"/>
  <c r="V81" i="20" s="1"/>
  <c r="V76" i="20" a="1"/>
  <c r="V76" i="20" s="1"/>
  <c r="AD48" i="8" a="1"/>
  <c r="AD48" i="8" s="1"/>
  <c r="V48" i="20" a="1"/>
  <c r="V48" i="20" s="1"/>
  <c r="AD66" i="8" a="1"/>
  <c r="AD66" i="8" s="1"/>
  <c r="AD42" i="8" a="1"/>
  <c r="AD42" i="8" s="1"/>
  <c r="AD34" i="8" a="1"/>
  <c r="AD34" i="8" s="1"/>
  <c r="V34" i="20" a="1"/>
  <c r="V34" i="20" s="1"/>
  <c r="V66" i="20" a="1"/>
  <c r="V66" i="20" s="1"/>
  <c r="V42" i="20" a="1"/>
  <c r="V42" i="20" s="1"/>
  <c r="AE79" i="8" a="1"/>
  <c r="AE79" i="8" s="1"/>
  <c r="AE84" i="8" a="1"/>
  <c r="AE84" i="8" s="1"/>
  <c r="AE74" i="8" a="1"/>
  <c r="AE74" i="8" s="1"/>
  <c r="W74" i="20" a="1"/>
  <c r="W74" i="20" s="1"/>
  <c r="W84" i="20" a="1"/>
  <c r="W84" i="20" s="1"/>
  <c r="W79" i="20" a="1"/>
  <c r="W79" i="20" s="1"/>
  <c r="AI80" i="8" a="1"/>
  <c r="AI80" i="8" s="1"/>
  <c r="AI85" i="8" a="1"/>
  <c r="AI85" i="8" s="1"/>
  <c r="AE76" i="8" a="1"/>
  <c r="AE76" i="8" s="1"/>
  <c r="AE81" i="8" a="1"/>
  <c r="AE81" i="8" s="1"/>
  <c r="AE86" i="8" a="1"/>
  <c r="AE86" i="8" s="1"/>
  <c r="W86" i="20" a="1"/>
  <c r="W86" i="20" s="1"/>
  <c r="W81" i="20" a="1"/>
  <c r="W81" i="20" s="1"/>
  <c r="W76" i="20" a="1"/>
  <c r="W76" i="20" s="1"/>
  <c r="AE48" i="8" a="1"/>
  <c r="AE48" i="8" s="1"/>
  <c r="W48" i="20" a="1"/>
  <c r="W48" i="20" s="1"/>
  <c r="AE66" i="8" a="1"/>
  <c r="AE66" i="8" s="1"/>
  <c r="AE42" i="8" a="1"/>
  <c r="AE42" i="8" s="1"/>
  <c r="AE34" i="8" a="1"/>
  <c r="AE34" i="8" s="1"/>
  <c r="W34" i="20" a="1"/>
  <c r="W34" i="20" s="1"/>
  <c r="W66" i="20" a="1"/>
  <c r="W66" i="20" s="1"/>
  <c r="W42" i="20" a="1"/>
  <c r="W42" i="20" s="1"/>
  <c r="AF74" i="8" a="1"/>
  <c r="AF74" i="8" s="1"/>
  <c r="AF84" i="8" a="1"/>
  <c r="AF84" i="8" s="1"/>
  <c r="AF79" i="8" a="1"/>
  <c r="AF79" i="8" s="1"/>
  <c r="X74" i="20" a="1"/>
  <c r="X74" i="20" s="1"/>
  <c r="X84" i="20" a="1"/>
  <c r="X84" i="20" s="1"/>
  <c r="X79" i="20" a="1"/>
  <c r="X79" i="20" s="1"/>
  <c r="AF76" i="8" a="1"/>
  <c r="AF76" i="8" s="1"/>
  <c r="AF81" i="8" a="1"/>
  <c r="AF81" i="8" s="1"/>
  <c r="AF86" i="8" a="1"/>
  <c r="AF86" i="8" s="1"/>
  <c r="X86" i="20" a="1"/>
  <c r="X86" i="20" s="1"/>
  <c r="X81" i="20" a="1"/>
  <c r="X81" i="20" s="1"/>
  <c r="X76" i="20" a="1"/>
  <c r="X76" i="20" s="1"/>
  <c r="AF48" i="8" a="1"/>
  <c r="AF48" i="8" s="1"/>
  <c r="X48" i="20" a="1"/>
  <c r="X48" i="20" s="1"/>
  <c r="AF66" i="8" a="1"/>
  <c r="AF66" i="8" s="1"/>
  <c r="AF34" i="8" a="1"/>
  <c r="AF34" i="8" s="1"/>
  <c r="AF42" i="8" a="1"/>
  <c r="AF42" i="8" s="1"/>
  <c r="X34" i="20" a="1"/>
  <c r="X34" i="20" s="1"/>
  <c r="X42" i="20" a="1"/>
  <c r="X42" i="20" s="1"/>
  <c r="X66" i="20" a="1"/>
  <c r="X66" i="20" s="1"/>
  <c r="AF73" i="8" a="1"/>
  <c r="AF73" i="8" s="1"/>
  <c r="X73" i="20" a="1"/>
  <c r="X73" i="20" s="1"/>
  <c r="AF23" i="8" a="1"/>
  <c r="AF23" i="8" s="1"/>
  <c r="X23" i="20" a="1"/>
  <c r="X23" i="20" s="1"/>
  <c r="AF32" i="8" a="1"/>
  <c r="AF32" i="8" s="1"/>
  <c r="AF65" i="8" a="1"/>
  <c r="AF65" i="8" s="1"/>
  <c r="X32" i="20" a="1"/>
  <c r="X32" i="20" s="1"/>
  <c r="X65" i="20" a="1"/>
  <c r="X65" i="20" s="1"/>
  <c r="AG76" i="8" a="1"/>
  <c r="AG76" i="8" s="1"/>
  <c r="AG81" i="8" a="1"/>
  <c r="AG81" i="8" s="1"/>
  <c r="AG86" i="8" a="1"/>
  <c r="AG86" i="8" s="1"/>
  <c r="AL7" i="18"/>
  <c r="R10" i="6" s="1"/>
  <c r="AK7" i="18"/>
  <c r="Q10" i="6" s="1"/>
  <c r="AJ7" i="18"/>
  <c r="P10" i="6" s="1"/>
  <c r="AI7" i="18"/>
  <c r="O10" i="6" s="1"/>
  <c r="AH7" i="18"/>
  <c r="N10" i="6" s="1"/>
  <c r="AG25" i="8" s="1" a="1"/>
  <c r="AG25" i="8" s="1"/>
  <c r="AG7" i="18"/>
  <c r="M10" i="6" s="1"/>
  <c r="AF7" i="18"/>
  <c r="L10" i="6" s="1"/>
  <c r="AE7" i="18"/>
  <c r="K10" i="6" s="1"/>
  <c r="AL9" i="18"/>
  <c r="R12" i="6" s="1"/>
  <c r="AK9" i="18"/>
  <c r="Q12" i="6" s="1"/>
  <c r="AJ9" i="18"/>
  <c r="P12" i="6" s="1"/>
  <c r="AI9" i="18"/>
  <c r="O12" i="6" s="1"/>
  <c r="AH9" i="18"/>
  <c r="N12" i="6" s="1"/>
  <c r="AG9" i="18"/>
  <c r="M12" i="6" s="1"/>
  <c r="AF9" i="18"/>
  <c r="L12" i="6" s="1"/>
  <c r="AE9" i="18"/>
  <c r="K12" i="6" s="1"/>
  <c r="AL6" i="18"/>
  <c r="R9" i="6" s="1"/>
  <c r="AK6" i="18"/>
  <c r="Q9" i="6" s="1"/>
  <c r="AJ6" i="18"/>
  <c r="P9" i="6" s="1"/>
  <c r="AI6" i="18"/>
  <c r="O9" i="6" s="1"/>
  <c r="AH6" i="18"/>
  <c r="N9" i="6" s="1"/>
  <c r="AG24" i="8" s="1" a="1"/>
  <c r="AG24" i="8" s="1"/>
  <c r="AG6" i="18"/>
  <c r="M9" i="6" s="1"/>
  <c r="AF6" i="18"/>
  <c r="L9" i="6" s="1"/>
  <c r="AE6" i="18"/>
  <c r="K9" i="6" s="1"/>
  <c r="AL34" i="18"/>
  <c r="R37" i="6" s="1"/>
  <c r="AK34" i="18"/>
  <c r="Q37" i="6" s="1"/>
  <c r="AJ34" i="18"/>
  <c r="P37" i="6" s="1"/>
  <c r="AI34" i="18"/>
  <c r="O37" i="6" s="1"/>
  <c r="AH34" i="18"/>
  <c r="N37" i="6" s="1"/>
  <c r="AG34" i="18"/>
  <c r="M37" i="6" s="1"/>
  <c r="AF34" i="18"/>
  <c r="L37" i="6" s="1"/>
  <c r="AE34" i="18"/>
  <c r="K37" i="6" s="1"/>
  <c r="AL32" i="18"/>
  <c r="R35" i="6" s="1"/>
  <c r="AK32" i="18"/>
  <c r="Q35" i="6" s="1"/>
  <c r="AJ32" i="18"/>
  <c r="P35" i="6" s="1"/>
  <c r="AI32" i="18"/>
  <c r="O35" i="6" s="1"/>
  <c r="AH32" i="18"/>
  <c r="N35" i="6" s="1"/>
  <c r="AG32" i="18"/>
  <c r="M35" i="6" s="1"/>
  <c r="AF32" i="18"/>
  <c r="L35" i="6" s="1"/>
  <c r="AE32" i="18"/>
  <c r="K35" i="6" s="1"/>
  <c r="AL31" i="18"/>
  <c r="R34" i="6" s="1"/>
  <c r="AK31" i="18"/>
  <c r="Q34" i="6" s="1"/>
  <c r="AJ31" i="18"/>
  <c r="P34" i="6" s="1"/>
  <c r="AI31" i="18"/>
  <c r="O34" i="6" s="1"/>
  <c r="AH31" i="18"/>
  <c r="N34" i="6" s="1"/>
  <c r="AG31" i="18"/>
  <c r="M34" i="6" s="1"/>
  <c r="AF31" i="18"/>
  <c r="L34" i="6" s="1"/>
  <c r="AE31" i="18"/>
  <c r="K34" i="6" s="1"/>
  <c r="AL60" i="18"/>
  <c r="R63" i="6" s="1"/>
  <c r="AK60" i="18"/>
  <c r="Q63" i="6" s="1"/>
  <c r="AJ60" i="18"/>
  <c r="P63" i="6" s="1"/>
  <c r="AI60" i="18"/>
  <c r="O63" i="6" s="1"/>
  <c r="AH60" i="18"/>
  <c r="N63" i="6" s="1"/>
  <c r="AG60" i="18"/>
  <c r="M63" i="6" s="1"/>
  <c r="AF60" i="18"/>
  <c r="L63" i="6" s="1"/>
  <c r="AE60" i="18"/>
  <c r="K63" i="6" s="1"/>
  <c r="AL61" i="18"/>
  <c r="R64" i="6" s="1"/>
  <c r="AK61" i="18"/>
  <c r="Q64" i="6" s="1"/>
  <c r="AJ61" i="18"/>
  <c r="P64" i="6" s="1"/>
  <c r="AI61" i="18"/>
  <c r="O64" i="6" s="1"/>
  <c r="AH61" i="18"/>
  <c r="N64" i="6" s="1"/>
  <c r="AG61" i="18"/>
  <c r="M64" i="6" s="1"/>
  <c r="AF61" i="18"/>
  <c r="L64" i="6" s="1"/>
  <c r="AE61" i="18"/>
  <c r="K64" i="6" s="1"/>
  <c r="AC62" i="18"/>
  <c r="AL62" i="18" s="1"/>
  <c r="R65" i="6" s="1"/>
  <c r="Z62" i="18"/>
  <c r="X62" i="18"/>
  <c r="AF62" i="18"/>
  <c r="L65" i="6" s="1"/>
  <c r="AL63" i="18"/>
  <c r="R66" i="6" s="1"/>
  <c r="AK63" i="18"/>
  <c r="Q66" i="6" s="1"/>
  <c r="AJ63" i="18"/>
  <c r="P66" i="6" s="1"/>
  <c r="AI63" i="18"/>
  <c r="O66" i="6" s="1"/>
  <c r="AH63" i="18"/>
  <c r="N66" i="6" s="1"/>
  <c r="AG63" i="18"/>
  <c r="M66" i="6" s="1"/>
  <c r="AF63" i="18"/>
  <c r="L66" i="6" s="1"/>
  <c r="AE63" i="18"/>
  <c r="K66" i="6" s="1"/>
  <c r="AL64" i="18"/>
  <c r="R67" i="6" s="1"/>
  <c r="AK64" i="18"/>
  <c r="Q67" i="6" s="1"/>
  <c r="AJ64" i="18"/>
  <c r="P67" i="6" s="1"/>
  <c r="AI64" i="18"/>
  <c r="O67" i="6" s="1"/>
  <c r="AH64" i="18"/>
  <c r="N67" i="6" s="1"/>
  <c r="AG64" i="18"/>
  <c r="M67" i="6" s="1"/>
  <c r="AF64" i="18"/>
  <c r="L67" i="6" s="1"/>
  <c r="AE64" i="18"/>
  <c r="K67" i="6" s="1"/>
  <c r="AL65" i="18"/>
  <c r="R68" i="6" s="1"/>
  <c r="AK65" i="18"/>
  <c r="Q68" i="6" s="1"/>
  <c r="AJ65" i="18"/>
  <c r="P68" i="6" s="1"/>
  <c r="AI65" i="18"/>
  <c r="O68" i="6" s="1"/>
  <c r="AH65" i="18"/>
  <c r="N68" i="6" s="1"/>
  <c r="AG65" i="18"/>
  <c r="M68" i="6" s="1"/>
  <c r="AF65" i="18"/>
  <c r="L68" i="6" s="1"/>
  <c r="AE65" i="18"/>
  <c r="K68" i="6" s="1"/>
  <c r="AL59" i="18"/>
  <c r="R62" i="6" s="1"/>
  <c r="AK59" i="18"/>
  <c r="Q62" i="6" s="1"/>
  <c r="AJ59" i="18"/>
  <c r="P62" i="6" s="1"/>
  <c r="AI59" i="18"/>
  <c r="O62" i="6" s="1"/>
  <c r="AH59" i="18"/>
  <c r="N62" i="6" s="1"/>
  <c r="AG59" i="18"/>
  <c r="M62" i="6" s="1"/>
  <c r="AF59" i="18"/>
  <c r="L62" i="6" s="1"/>
  <c r="AE59" i="18"/>
  <c r="K62" i="6" s="1"/>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I93" i="8" l="1" a="1"/>
  <c r="AI93" i="8" s="1"/>
  <c r="AI97" i="8" a="1"/>
  <c r="AI97" i="8" s="1"/>
  <c r="AE67" i="8" a="1"/>
  <c r="AE67" i="8" s="1"/>
  <c r="AE35" i="8" a="1"/>
  <c r="AE35" i="8" s="1"/>
  <c r="W35" i="20" a="1"/>
  <c r="W35" i="20" s="1"/>
  <c r="W67" i="20" a="1"/>
  <c r="W67" i="20" s="1"/>
  <c r="AE24" i="8" a="1"/>
  <c r="AE24" i="8" s="1"/>
  <c r="W24" i="20" a="1"/>
  <c r="W24" i="20" s="1"/>
  <c r="AF35" i="8" a="1"/>
  <c r="AF35" i="8" s="1"/>
  <c r="AF67" i="8" a="1"/>
  <c r="AF67" i="8" s="1"/>
  <c r="X35" i="20" a="1"/>
  <c r="X35" i="20" s="1"/>
  <c r="X67" i="20" a="1"/>
  <c r="X67" i="20" s="1"/>
  <c r="AF24" i="8" a="1"/>
  <c r="AF24" i="8" s="1"/>
  <c r="X24" i="20" a="1"/>
  <c r="X24" i="20" s="1"/>
  <c r="AG35" i="8" a="1"/>
  <c r="AG35" i="8" s="1"/>
  <c r="AG67" i="8" a="1"/>
  <c r="AG67" i="8" s="1"/>
  <c r="AD98" i="8" a="1"/>
  <c r="AD98" i="8" s="1"/>
  <c r="AD94" i="8" a="1"/>
  <c r="AD94" i="8" s="1"/>
  <c r="V98" i="20" a="1"/>
  <c r="V98" i="20" s="1"/>
  <c r="V94" i="20" a="1"/>
  <c r="V94" i="20" s="1"/>
  <c r="AD25" i="8" a="1"/>
  <c r="AD25" i="8" s="1"/>
  <c r="V25" i="20" a="1"/>
  <c r="V25" i="20" s="1"/>
  <c r="AD35" i="8" a="1"/>
  <c r="AD35" i="8" s="1"/>
  <c r="AD67" i="8" a="1"/>
  <c r="AD67" i="8" s="1"/>
  <c r="V35" i="20" a="1"/>
  <c r="V35" i="20" s="1"/>
  <c r="V67" i="20" a="1"/>
  <c r="V67" i="20" s="1"/>
  <c r="AE98" i="8" a="1"/>
  <c r="AE98" i="8" s="1"/>
  <c r="AE94" i="8" a="1"/>
  <c r="AE94" i="8" s="1"/>
  <c r="W98" i="20" a="1"/>
  <c r="W98" i="20" s="1"/>
  <c r="W94" i="20" a="1"/>
  <c r="W94" i="20" s="1"/>
  <c r="AE25" i="8" a="1"/>
  <c r="AE25" i="8" s="1"/>
  <c r="W25" i="20" a="1"/>
  <c r="W25" i="20" s="1"/>
  <c r="AF25" i="8" a="1"/>
  <c r="AF25" i="8" s="1"/>
  <c r="X25" i="20" a="1"/>
  <c r="X25" i="20" s="1"/>
  <c r="AF98" i="8" a="1"/>
  <c r="AF98" i="8" s="1"/>
  <c r="AF94" i="8" a="1"/>
  <c r="AF94" i="8" s="1"/>
  <c r="X98" i="20" a="1"/>
  <c r="X98" i="20" s="1"/>
  <c r="X94" i="20" a="1"/>
  <c r="X94" i="20" s="1"/>
  <c r="AD97" i="8" a="1"/>
  <c r="AD97" i="8" s="1"/>
  <c r="AD93" i="8" a="1"/>
  <c r="AD93" i="8" s="1"/>
  <c r="V97" i="20" a="1"/>
  <c r="V97" i="20" s="1"/>
  <c r="V93" i="20" a="1"/>
  <c r="V93" i="20" s="1"/>
  <c r="AG98" i="8" a="1"/>
  <c r="AG98" i="8" s="1"/>
  <c r="AG94" i="8" a="1"/>
  <c r="AG94" i="8" s="1"/>
  <c r="AH98" i="8" a="1"/>
  <c r="AH98" i="8" s="1"/>
  <c r="AH94" i="8" a="1"/>
  <c r="AH94" i="8" s="1"/>
  <c r="AI98" i="8" a="1"/>
  <c r="AI98" i="8" s="1"/>
  <c r="AI94" i="8" a="1"/>
  <c r="AI94" i="8" s="1"/>
  <c r="AE97" i="8" a="1"/>
  <c r="AE97" i="8" s="1"/>
  <c r="AE93" i="8" a="1"/>
  <c r="AE93" i="8" s="1"/>
  <c r="W97" i="20" a="1"/>
  <c r="W97" i="20" s="1"/>
  <c r="W93" i="20" a="1"/>
  <c r="W93" i="20" s="1"/>
  <c r="AH93" i="8" a="1"/>
  <c r="AH93" i="8" s="1"/>
  <c r="AH97" i="8" a="1"/>
  <c r="AH97" i="8" s="1"/>
  <c r="V24" i="20" a="1"/>
  <c r="V24" i="20" s="1"/>
  <c r="AD24" i="8" a="1"/>
  <c r="AD24" i="8" s="1"/>
  <c r="AF93" i="8" a="1"/>
  <c r="AF93" i="8" s="1"/>
  <c r="AF97" i="8" a="1"/>
  <c r="AF97" i="8" s="1"/>
  <c r="X97" i="20" a="1"/>
  <c r="X97" i="20" s="1"/>
  <c r="X93" i="20" a="1"/>
  <c r="X93" i="20" s="1"/>
  <c r="AJ98" i="8" a="1"/>
  <c r="AJ98" i="8" s="1"/>
  <c r="AJ94" i="8" a="1"/>
  <c r="AJ94" i="8" s="1"/>
  <c r="AG93" i="8" a="1"/>
  <c r="AG93" i="8" s="1"/>
  <c r="AG97" i="8" a="1"/>
  <c r="AG97" i="8" s="1"/>
  <c r="AL33" i="18"/>
  <c r="R36" i="6" s="1"/>
  <c r="AK33" i="18"/>
  <c r="Q36" i="6" s="1"/>
  <c r="AJ33" i="18"/>
  <c r="P36" i="6" s="1"/>
  <c r="AI33" i="18"/>
  <c r="O36" i="6" s="1"/>
  <c r="AH33" i="18"/>
  <c r="N36" i="6" s="1"/>
  <c r="AG33" i="18"/>
  <c r="M36" i="6" s="1"/>
  <c r="AF33" i="18"/>
  <c r="L36" i="6" s="1"/>
  <c r="AE33" i="18"/>
  <c r="K36" i="6" s="1"/>
  <c r="AL8" i="18"/>
  <c r="R11" i="6" s="1"/>
  <c r="AK8" i="18"/>
  <c r="Q11" i="6" s="1"/>
  <c r="AJ8" i="18"/>
  <c r="P11" i="6" s="1"/>
  <c r="AI8" i="18"/>
  <c r="O11" i="6" s="1"/>
  <c r="AH8" i="18"/>
  <c r="N11" i="6" s="1"/>
  <c r="AG26" i="8" s="1" a="1"/>
  <c r="AG26" i="8" s="1"/>
  <c r="AG8" i="18"/>
  <c r="M11" i="6" s="1"/>
  <c r="AF8" i="18"/>
  <c r="L11" i="6" s="1"/>
  <c r="AE8" i="18"/>
  <c r="K11" i="6" s="1"/>
  <c r="AL10" i="18"/>
  <c r="R13" i="6" s="1"/>
  <c r="AK10" i="18"/>
  <c r="Q13" i="6" s="1"/>
  <c r="AJ10" i="18"/>
  <c r="P13" i="6" s="1"/>
  <c r="AI10" i="18"/>
  <c r="O13" i="6" s="1"/>
  <c r="AH10" i="18"/>
  <c r="N13" i="6" s="1"/>
  <c r="AG10" i="18"/>
  <c r="M13" i="6" s="1"/>
  <c r="AF10" i="18"/>
  <c r="L13" i="6" s="1"/>
  <c r="AE10" i="18"/>
  <c r="K13" i="6" s="1"/>
  <c r="AC86" i="18"/>
  <c r="Z86" i="18"/>
  <c r="X86" i="18"/>
  <c r="AC74" i="18"/>
  <c r="Z74" i="18"/>
  <c r="X74" i="18"/>
  <c r="Y62" i="18"/>
  <c r="AH62" i="18" s="1"/>
  <c r="N65" i="6" s="1"/>
  <c r="AG62" i="18"/>
  <c r="M65" i="6" s="1"/>
  <c r="AB62" i="18"/>
  <c r="AK62" i="18" s="1"/>
  <c r="Q65" i="6" s="1"/>
  <c r="AA62" i="18"/>
  <c r="AJ62" i="18" s="1"/>
  <c r="P65" i="6" s="1"/>
  <c r="AI62" i="18"/>
  <c r="O65" i="6" s="1"/>
  <c r="D70" i="18"/>
  <c r="T35" i="18"/>
  <c r="U35" i="18" s="1"/>
  <c r="AD35" i="18" s="1"/>
  <c r="I89" i="10"/>
  <c r="J89" i="10"/>
  <c r="H89" i="10"/>
  <c r="H92" i="10"/>
  <c r="N19" i="10"/>
  <c r="N20" i="10"/>
  <c r="N21" i="10"/>
  <c r="N22" i="10"/>
  <c r="N23" i="10"/>
  <c r="N24" i="10"/>
  <c r="N25" i="10"/>
  <c r="N26" i="10"/>
  <c r="N27" i="10"/>
  <c r="N28" i="10"/>
  <c r="N29" i="10"/>
  <c r="N30" i="10"/>
  <c r="N31" i="10"/>
  <c r="N32" i="10"/>
  <c r="N33" i="10"/>
  <c r="N34" i="10"/>
  <c r="N35" i="10"/>
  <c r="N36" i="10"/>
  <c r="N18" i="10"/>
  <c r="G77" i="10"/>
  <c r="Y74" i="18" l="1"/>
  <c r="AD26" i="8" a="1"/>
  <c r="AD26" i="8" s="1"/>
  <c r="V26" i="20" a="1"/>
  <c r="V26" i="20" s="1"/>
  <c r="Y86" i="18"/>
  <c r="AE26" i="8" a="1"/>
  <c r="AE26" i="8" s="1"/>
  <c r="W26" i="20" a="1"/>
  <c r="W26" i="20" s="1"/>
  <c r="AF26" i="8" a="1"/>
  <c r="AF26" i="8" s="1"/>
  <c r="X26" i="20" a="1"/>
  <c r="X26" i="20" s="1"/>
  <c r="AL35" i="18"/>
  <c r="R38" i="6" s="1"/>
  <c r="AK35" i="18"/>
  <c r="Q38" i="6" s="1"/>
  <c r="AJ35" i="18"/>
  <c r="P38" i="6" s="1"/>
  <c r="AI35" i="18"/>
  <c r="O38" i="6" s="1"/>
  <c r="AH35" i="18"/>
  <c r="N38" i="6" s="1"/>
  <c r="AG35" i="18"/>
  <c r="M38" i="6" s="1"/>
  <c r="AF35" i="18"/>
  <c r="L38" i="6" s="1"/>
  <c r="AE35" i="18"/>
  <c r="K38" i="6" s="1"/>
  <c r="AB74" i="18"/>
  <c r="AA74" i="18"/>
  <c r="AB86" i="18"/>
  <c r="AA86" i="18"/>
  <c r="T37" i="18"/>
  <c r="U37" i="18" s="1"/>
  <c r="AD37" i="18" s="1"/>
  <c r="D72" i="18"/>
  <c r="T39" i="18" s="1"/>
  <c r="U39" i="18" s="1"/>
  <c r="AD39" i="18" s="1"/>
  <c r="D71" i="18"/>
  <c r="T38" i="18" s="1"/>
  <c r="U38" i="18" s="1"/>
  <c r="AD38" i="18" s="1"/>
  <c r="H14" i="10"/>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R41" i="6" s="1"/>
  <c r="AK38" i="18"/>
  <c r="Q41" i="6" s="1"/>
  <c r="AJ38" i="18"/>
  <c r="P41" i="6" s="1"/>
  <c r="AI38" i="18"/>
  <c r="O41" i="6" s="1"/>
  <c r="AH38" i="18"/>
  <c r="N41" i="6" s="1"/>
  <c r="AG38" i="18"/>
  <c r="M41" i="6" s="1"/>
  <c r="AF38" i="18"/>
  <c r="L41" i="6" s="1"/>
  <c r="AE38" i="18"/>
  <c r="K41" i="6" s="1"/>
  <c r="AL39" i="18"/>
  <c r="R42" i="6" s="1"/>
  <c r="AK39" i="18"/>
  <c r="Q42" i="6" s="1"/>
  <c r="AJ39" i="18"/>
  <c r="P42" i="6" s="1"/>
  <c r="AI39" i="18"/>
  <c r="O42" i="6" s="1"/>
  <c r="AH39" i="18"/>
  <c r="N42" i="6" s="1"/>
  <c r="AG39" i="18"/>
  <c r="M42" i="6" s="1"/>
  <c r="AF39" i="18"/>
  <c r="L42" i="6" s="1"/>
  <c r="AE39" i="18"/>
  <c r="K42" i="6" s="1"/>
  <c r="AL37" i="18"/>
  <c r="R40" i="6" s="1"/>
  <c r="AK37" i="18"/>
  <c r="Q40" i="6" s="1"/>
  <c r="AJ37" i="18"/>
  <c r="P40" i="6" s="1"/>
  <c r="AI37" i="18"/>
  <c r="O40" i="6" s="1"/>
  <c r="AH37" i="18"/>
  <c r="N40" i="6" s="1"/>
  <c r="AG37" i="18"/>
  <c r="M40" i="6" s="1"/>
  <c r="AF37" i="18"/>
  <c r="L40" i="6" s="1"/>
  <c r="AE37" i="18"/>
  <c r="K40" i="6" s="1"/>
  <c r="Q107" i="11"/>
  <c r="AD37" i="8" l="1" a="1"/>
  <c r="AD37" i="8" s="1"/>
  <c r="AD69" i="8" a="1"/>
  <c r="AD69" i="8" s="1"/>
  <c r="AD44" i="8" a="1"/>
  <c r="AD44" i="8" s="1"/>
  <c r="V37" i="20" a="1"/>
  <c r="V37" i="20" s="1"/>
  <c r="V69" i="20" a="1"/>
  <c r="V69" i="20" s="1"/>
  <c r="V44" i="20" a="1"/>
  <c r="V44" i="20" s="1"/>
  <c r="AE37" i="8" a="1"/>
  <c r="AE37" i="8" s="1"/>
  <c r="AE69" i="8" a="1"/>
  <c r="AE69" i="8" s="1"/>
  <c r="AE44" i="8" a="1"/>
  <c r="AE44" i="8" s="1"/>
  <c r="W37" i="20" a="1"/>
  <c r="W37" i="20" s="1"/>
  <c r="W69" i="20" a="1"/>
  <c r="W69" i="20" s="1"/>
  <c r="W44" i="20" a="1"/>
  <c r="W44" i="20" s="1"/>
  <c r="AF37" i="8" a="1"/>
  <c r="AF37" i="8" s="1"/>
  <c r="AF44" i="8" a="1"/>
  <c r="AF44" i="8" s="1"/>
  <c r="AF69" i="8" a="1"/>
  <c r="AF69" i="8" s="1"/>
  <c r="X37" i="20" a="1"/>
  <c r="X37" i="20" s="1"/>
  <c r="X69" i="20" a="1"/>
  <c r="X69" i="20" s="1"/>
  <c r="X44" i="20" a="1"/>
  <c r="X44" i="20" s="1"/>
  <c r="AH37" i="8" a="1"/>
  <c r="AH37" i="8" s="1"/>
  <c r="AH69" i="8" a="1"/>
  <c r="AH69" i="8" s="1"/>
  <c r="AH44" i="8" a="1"/>
  <c r="AH44" i="8" s="1"/>
  <c r="AI69" i="8" a="1"/>
  <c r="AI69" i="8" s="1"/>
  <c r="AI44" i="8" a="1"/>
  <c r="AI44" i="8" s="1"/>
  <c r="AI37" i="8" a="1"/>
  <c r="AI37" i="8" s="1"/>
  <c r="AG69" i="8" a="1"/>
  <c r="AG69" i="8" s="1"/>
  <c r="AG44" i="8" a="1"/>
  <c r="AG44" i="8" s="1"/>
  <c r="AG37" i="8" a="1"/>
  <c r="AG37" i="8" s="1"/>
  <c r="AL68" i="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G19" i="10"/>
  <c r="O20" i="10"/>
  <c r="G21" i="10"/>
  <c r="G22" i="10"/>
  <c r="H79" i="10" s="1"/>
  <c r="O24" i="10"/>
  <c r="AD26" i="10"/>
  <c r="W27" i="10"/>
  <c r="X27" i="10"/>
  <c r="AC27" i="10"/>
  <c r="W28" i="10"/>
  <c r="X28" i="10"/>
  <c r="AC28" i="10"/>
  <c r="W29" i="10"/>
  <c r="X29" i="10"/>
  <c r="AC29" i="10"/>
  <c r="W30" i="10"/>
  <c r="X30" i="10"/>
  <c r="AC30" i="10"/>
  <c r="W31" i="10"/>
  <c r="X31" i="10"/>
  <c r="AC31" i="10"/>
  <c r="W32" i="10"/>
  <c r="X32" i="10"/>
  <c r="AC32" i="10"/>
  <c r="W33" i="10"/>
  <c r="X33" i="10"/>
  <c r="AC33" i="10"/>
  <c r="W34" i="10"/>
  <c r="X34" i="10"/>
  <c r="AC34" i="10"/>
  <c r="G35" i="10"/>
  <c r="AD37" i="10" s="1"/>
  <c r="O35" i="10"/>
  <c r="W35" i="10"/>
  <c r="X35" i="10"/>
  <c r="AC35" i="10"/>
  <c r="AE35" i="10"/>
  <c r="G36" i="10"/>
  <c r="O36" i="10"/>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27" i="10" s="1"/>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M114" i="10" s="1"/>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P50"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E91" i="4" l="1"/>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V56" i="4"/>
  <c r="W56" i="4" s="1"/>
  <c r="X56" i="4" s="1"/>
  <c r="U56" i="4"/>
  <c r="T56" i="4"/>
  <c r="AE272" i="8"/>
  <c r="AX27" i="8" s="1"/>
  <c r="AD272" i="8"/>
  <c r="AW27" i="8" s="1"/>
  <c r="U272" i="8"/>
  <c r="T272" i="8"/>
  <c r="AV27" i="8" s="1"/>
  <c r="S272" i="8"/>
  <c r="R272" i="8"/>
  <c r="AU27" i="8" s="1"/>
  <c r="Q272" i="8"/>
  <c r="P272" i="8"/>
  <c r="N272" i="8"/>
  <c r="AE271" i="8"/>
  <c r="AD271" i="8"/>
  <c r="U271" i="8"/>
  <c r="T271" i="8"/>
  <c r="S271" i="8"/>
  <c r="R271" i="8"/>
  <c r="Q271" i="8"/>
  <c r="P271" i="8"/>
  <c r="N271" i="8"/>
  <c r="H271" i="8"/>
  <c r="F271" i="8"/>
  <c r="E271" i="8"/>
  <c r="D271" i="8"/>
  <c r="G270" i="8"/>
  <c r="G271" i="8" s="1"/>
  <c r="H266" i="8"/>
  <c r="AJ143" i="8"/>
  <c r="K272" i="8" s="1"/>
  <c r="AI143" i="8"/>
  <c r="J272" i="8" s="1"/>
  <c r="AG143" i="8"/>
  <c r="H272" i="8" s="1"/>
  <c r="AE143" i="8"/>
  <c r="F272" i="8" s="1"/>
  <c r="AD143" i="8"/>
  <c r="C272" i="8" s="1"/>
  <c r="H126" i="8"/>
  <c r="G126" i="8"/>
  <c r="H125" i="8"/>
  <c r="G125" i="8"/>
  <c r="H124" i="8"/>
  <c r="G124" i="8"/>
  <c r="H123" i="8"/>
  <c r="G123" i="8"/>
  <c r="H122" i="8"/>
  <c r="G122" i="8"/>
  <c r="H121" i="8"/>
  <c r="G121" i="8"/>
  <c r="H120" i="8"/>
  <c r="G120" i="8"/>
  <c r="H119" i="8"/>
  <c r="G119" i="8"/>
  <c r="H118" i="8"/>
  <c r="G118" i="8"/>
  <c r="H117" i="8"/>
  <c r="G117" i="8"/>
  <c r="AE116" i="8"/>
  <c r="H116" i="8"/>
  <c r="G116" i="8"/>
  <c r="H115" i="8"/>
  <c r="G115" i="8"/>
  <c r="H114" i="8"/>
  <c r="G114" i="8"/>
  <c r="H113" i="8"/>
  <c r="G113" i="8"/>
  <c r="H112" i="8"/>
  <c r="G112" i="8"/>
  <c r="AR111" i="8"/>
  <c r="H111" i="8"/>
  <c r="G111" i="8"/>
  <c r="AY110" i="8"/>
  <c r="Q110" i="8"/>
  <c r="AK110" i="8" s="1"/>
  <c r="H110" i="8"/>
  <c r="G110" i="8"/>
  <c r="AY109" i="8"/>
  <c r="Q109" i="8"/>
  <c r="AK109" i="8" s="1"/>
  <c r="H109" i="8"/>
  <c r="G109" i="8"/>
  <c r="AY108" i="8"/>
  <c r="Q108" i="8"/>
  <c r="AK108" i="8" s="1"/>
  <c r="AY107" i="8"/>
  <c r="Q107" i="8"/>
  <c r="AK107" i="8" s="1"/>
  <c r="AY106" i="8"/>
  <c r="Q106" i="8"/>
  <c r="AK106" i="8" s="1"/>
  <c r="AY105" i="8"/>
  <c r="Q105" i="8"/>
  <c r="AK105" i="8" s="1"/>
  <c r="AY104" i="8"/>
  <c r="Q104" i="8"/>
  <c r="AK104" i="8" s="1"/>
  <c r="AY103" i="8"/>
  <c r="Q103" i="8"/>
  <c r="AK103" i="8" s="1"/>
  <c r="AY102" i="8"/>
  <c r="Q102" i="8"/>
  <c r="AK102" i="8" s="1"/>
  <c r="AY101" i="8"/>
  <c r="Q101" i="8"/>
  <c r="AK101" i="8" s="1"/>
  <c r="H101" i="8"/>
  <c r="G101" i="8"/>
  <c r="AY100" i="8"/>
  <c r="Q100" i="8"/>
  <c r="AK100" i="8" s="1"/>
  <c r="H100" i="8"/>
  <c r="G100" i="8"/>
  <c r="AY99" i="8"/>
  <c r="Q99" i="8"/>
  <c r="AK99" i="8" s="1"/>
  <c r="H99" i="8"/>
  <c r="G99" i="8"/>
  <c r="AY98" i="8"/>
  <c r="Q98" i="8"/>
  <c r="AK98" i="8" s="1"/>
  <c r="H98" i="8"/>
  <c r="H102" i="8" s="1"/>
  <c r="G98" i="8"/>
  <c r="G102" i="8" s="1"/>
  <c r="AY97" i="8"/>
  <c r="Q97" i="8"/>
  <c r="AK97" i="8" s="1"/>
  <c r="AY96" i="8"/>
  <c r="Q96" i="8"/>
  <c r="AK96" i="8" s="1"/>
  <c r="AY95" i="8"/>
  <c r="Q95" i="8"/>
  <c r="AK95" i="8" s="1"/>
  <c r="AY94" i="8"/>
  <c r="Q94" i="8"/>
  <c r="AK94" i="8" s="1"/>
  <c r="AY93" i="8"/>
  <c r="Q93" i="8"/>
  <c r="AK93" i="8" s="1"/>
  <c r="AY92" i="8"/>
  <c r="Q92" i="8"/>
  <c r="AK92" i="8" s="1"/>
  <c r="AY91" i="8"/>
  <c r="Q91" i="8"/>
  <c r="AK91" i="8" s="1"/>
  <c r="AY90" i="8"/>
  <c r="Q90" i="8"/>
  <c r="AK90" i="8" s="1"/>
  <c r="AY89" i="8"/>
  <c r="Q89" i="8"/>
  <c r="AK89" i="8" s="1"/>
  <c r="AY88" i="8"/>
  <c r="Q88" i="8"/>
  <c r="AK88" i="8" s="1"/>
  <c r="AY87" i="8"/>
  <c r="Q87" i="8"/>
  <c r="AK87" i="8" s="1"/>
  <c r="AY86" i="8"/>
  <c r="Q86" i="8"/>
  <c r="AK86" i="8" s="1"/>
  <c r="AY85" i="8"/>
  <c r="Q85" i="8"/>
  <c r="AK85" i="8" s="1"/>
  <c r="AY84" i="8"/>
  <c r="Q84" i="8"/>
  <c r="AK84" i="8" s="1"/>
  <c r="AY83" i="8"/>
  <c r="Q83" i="8"/>
  <c r="AK83" i="8" s="1"/>
  <c r="AY82" i="8"/>
  <c r="Q82" i="8"/>
  <c r="AK82" i="8" s="1"/>
  <c r="AY81" i="8"/>
  <c r="Q81" i="8"/>
  <c r="AK81" i="8" s="1"/>
  <c r="AY80" i="8"/>
  <c r="Q80" i="8"/>
  <c r="AK80" i="8" s="1"/>
  <c r="AY79" i="8"/>
  <c r="Q79" i="8"/>
  <c r="AK79" i="8" s="1"/>
  <c r="AY78" i="8"/>
  <c r="Q78" i="8"/>
  <c r="AK78" i="8" s="1"/>
  <c r="AY77" i="8"/>
  <c r="Q77" i="8"/>
  <c r="AK77" i="8" s="1"/>
  <c r="AY76" i="8"/>
  <c r="Q76" i="8"/>
  <c r="AK76" i="8" s="1"/>
  <c r="B76" i="8"/>
  <c r="AY75" i="8"/>
  <c r="Q75" i="8"/>
  <c r="AK75" i="8" s="1"/>
  <c r="AY74" i="8"/>
  <c r="Q74" i="8"/>
  <c r="AK74" i="8" s="1"/>
  <c r="AY73" i="8"/>
  <c r="Q73" i="8"/>
  <c r="AK73" i="8" s="1"/>
  <c r="AY72" i="8"/>
  <c r="Q72" i="8"/>
  <c r="AK72" i="8" s="1"/>
  <c r="AY71" i="8"/>
  <c r="Q71" i="8"/>
  <c r="AK71" i="8" s="1"/>
  <c r="AY70" i="8"/>
  <c r="Q70" i="8"/>
  <c r="AK70" i="8" s="1"/>
  <c r="C70" i="8"/>
  <c r="AY69" i="8"/>
  <c r="Q69" i="8"/>
  <c r="AK69" i="8" s="1"/>
  <c r="AY68" i="8"/>
  <c r="Q68" i="8"/>
  <c r="AK68" i="8" s="1"/>
  <c r="AY67" i="8"/>
  <c r="Q67" i="8"/>
  <c r="AK67" i="8" s="1"/>
  <c r="AY66" i="8"/>
  <c r="Q66" i="8"/>
  <c r="AK66" i="8" s="1"/>
  <c r="BH65" i="8"/>
  <c r="AY65" i="8"/>
  <c r="Q65" i="8"/>
  <c r="AK65" i="8" s="1"/>
  <c r="BH64" i="8"/>
  <c r="AY64" i="8"/>
  <c r="Q64" i="8"/>
  <c r="AK64" i="8" s="1"/>
  <c r="C64" i="8"/>
  <c r="AY63" i="8"/>
  <c r="Q63" i="8"/>
  <c r="AK63" i="8" s="1"/>
  <c r="AY62" i="8"/>
  <c r="Q62" i="8"/>
  <c r="AK62" i="8" s="1"/>
  <c r="AY61" i="8"/>
  <c r="Q61" i="8"/>
  <c r="AK61" i="8" s="1"/>
  <c r="AY60" i="8"/>
  <c r="Q60" i="8"/>
  <c r="AK60" i="8" s="1"/>
  <c r="AY59" i="8"/>
  <c r="Q59" i="8"/>
  <c r="AK59" i="8" s="1"/>
  <c r="AY58" i="8"/>
  <c r="Q58" i="8"/>
  <c r="AK58" i="8" s="1"/>
  <c r="L58" i="8"/>
  <c r="D58" i="8"/>
  <c r="AY57" i="8"/>
  <c r="Q57" i="8"/>
  <c r="AK57" i="8" s="1"/>
  <c r="AY56" i="8"/>
  <c r="Q56" i="8"/>
  <c r="AK56" i="8" s="1"/>
  <c r="AY55" i="8"/>
  <c r="Q55" i="8"/>
  <c r="AK55" i="8" s="1"/>
  <c r="AY54" i="8"/>
  <c r="Q54" i="8"/>
  <c r="AK54" i="8" s="1"/>
  <c r="AY53" i="8"/>
  <c r="Q53" i="8"/>
  <c r="AK53" i="8" s="1"/>
  <c r="AY52" i="8"/>
  <c r="Q52" i="8"/>
  <c r="AK52" i="8" s="1"/>
  <c r="AY51" i="8"/>
  <c r="Q51" i="8"/>
  <c r="AK51" i="8" s="1"/>
  <c r="AY50" i="8"/>
  <c r="Q50" i="8"/>
  <c r="AK50" i="8" s="1"/>
  <c r="AY49" i="8"/>
  <c r="Q49" i="8"/>
  <c r="AK49" i="8" s="1"/>
  <c r="AY48" i="8"/>
  <c r="Q48" i="8"/>
  <c r="AK48" i="8" s="1"/>
  <c r="AY47" i="8"/>
  <c r="Q47" i="8"/>
  <c r="AK47" i="8" s="1"/>
  <c r="AY46" i="8"/>
  <c r="Q46" i="8"/>
  <c r="AK46" i="8" s="1"/>
  <c r="AY45" i="8"/>
  <c r="Q45" i="8"/>
  <c r="AK45" i="8" s="1"/>
  <c r="AY44" i="8"/>
  <c r="Q44" i="8"/>
  <c r="AK44" i="8" s="1"/>
  <c r="AY43" i="8"/>
  <c r="Q43" i="8"/>
  <c r="AK43" i="8" s="1"/>
  <c r="AY42" i="8"/>
  <c r="Q42" i="8"/>
  <c r="AK42" i="8" s="1"/>
  <c r="AY41" i="8"/>
  <c r="Q41" i="8"/>
  <c r="AK41" i="8" s="1"/>
  <c r="AY40" i="8"/>
  <c r="Q40" i="8"/>
  <c r="AK40" i="8" s="1"/>
  <c r="AY39" i="8"/>
  <c r="Q39" i="8"/>
  <c r="AK39" i="8" s="1"/>
  <c r="AY38" i="8"/>
  <c r="Q38" i="8"/>
  <c r="AK38" i="8" s="1"/>
  <c r="AY37" i="8"/>
  <c r="Q37" i="8"/>
  <c r="AK37" i="8" s="1"/>
  <c r="AY36" i="8"/>
  <c r="Q36" i="8"/>
  <c r="AK36" i="8" s="1"/>
  <c r="AY35" i="8"/>
  <c r="Q35" i="8"/>
  <c r="AK35" i="8" s="1"/>
  <c r="AY34" i="8"/>
  <c r="Q34" i="8"/>
  <c r="AK34" i="8" s="1"/>
  <c r="AY33" i="8"/>
  <c r="Q33" i="8"/>
  <c r="AK33" i="8" s="1"/>
  <c r="AY32" i="8"/>
  <c r="Q32" i="8"/>
  <c r="AK32" i="8" s="1"/>
  <c r="AY31" i="8"/>
  <c r="Q31" i="8"/>
  <c r="AK31" i="8" s="1"/>
  <c r="AY30" i="8"/>
  <c r="Q30" i="8"/>
  <c r="AK30" i="8" s="1"/>
  <c r="AY29" i="8"/>
  <c r="Q29" i="8"/>
  <c r="AK29" i="8" s="1"/>
  <c r="AY28" i="8"/>
  <c r="Q28" i="8"/>
  <c r="AK28" i="8" s="1"/>
  <c r="AY27" i="8"/>
  <c r="AT27" i="8"/>
  <c r="AK27" i="8"/>
  <c r="AL27" i="8" s="1"/>
  <c r="Q27" i="8"/>
  <c r="AA69" i="4" s="1"/>
  <c r="AY26" i="8"/>
  <c r="Q26" i="8"/>
  <c r="AK26" i="8" s="1"/>
  <c r="AY25" i="8"/>
  <c r="Q25" i="8"/>
  <c r="AK25" i="8" s="1"/>
  <c r="AY24" i="8"/>
  <c r="Q24" i="8"/>
  <c r="AK24" i="8" s="1"/>
  <c r="AY23" i="8"/>
  <c r="Q23" i="8"/>
  <c r="AK23" i="8" s="1"/>
  <c r="AY22" i="8"/>
  <c r="Q22" i="8"/>
  <c r="AK22" i="8" s="1"/>
  <c r="AY21" i="8"/>
  <c r="Q21" i="8"/>
  <c r="AK21" i="8" s="1"/>
  <c r="AY20" i="8"/>
  <c r="Q20" i="8"/>
  <c r="J20" i="8"/>
  <c r="I20" i="8"/>
  <c r="BD19" i="8"/>
  <c r="BC19" i="8"/>
  <c r="BB19" i="8"/>
  <c r="BA19" i="8"/>
  <c r="AZ19" i="8"/>
  <c r="AD18" i="8"/>
  <c r="AG15" i="8"/>
  <c r="AP12" i="8"/>
  <c r="AO12" i="8"/>
  <c r="AM11" i="8"/>
  <c r="AL11" i="8"/>
  <c r="AL12" i="8" s="1"/>
  <c r="AM10" i="8"/>
  <c r="AN10" i="8" s="1"/>
  <c r="AO10" i="8" s="1"/>
  <c r="AP10" i="8" s="1"/>
  <c r="AP7" i="8"/>
  <c r="AO7" i="8"/>
  <c r="AM7" i="8"/>
  <c r="AL7" i="8"/>
  <c r="AN6" i="8"/>
  <c r="AK2" i="8"/>
  <c r="AK1" i="8"/>
  <c r="AE1" i="8"/>
  <c r="W272" i="7"/>
  <c r="AP27" i="7" s="1"/>
  <c r="V272" i="7"/>
  <c r="AO27" i="7" s="1"/>
  <c r="U272" i="7"/>
  <c r="T272" i="7"/>
  <c r="AN27" i="7" s="1"/>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a="1"/>
  <c r="AD85" i="7" s="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a="1"/>
  <c r="AD66" i="7" s="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a="1"/>
  <c r="AD33" i="7" s="1"/>
  <c r="AC33" i="7"/>
  <c r="Q33" i="7"/>
  <c r="AQ32" i="7"/>
  <c r="AD32" i="7" a="1"/>
  <c r="AD32" i="7" s="1"/>
  <c r="Q32" i="7"/>
  <c r="AC32" i="7" s="1"/>
  <c r="AQ31" i="7"/>
  <c r="AD31" i="7" a="1"/>
  <c r="AD31" i="7" s="1"/>
  <c r="Q31" i="7"/>
  <c r="AC31" i="7" s="1"/>
  <c r="AQ30" i="7"/>
  <c r="AD30" i="7" a="1"/>
  <c r="AD30" i="7" s="1"/>
  <c r="AC30" i="7"/>
  <c r="Q30" i="7"/>
  <c r="AQ29" i="7"/>
  <c r="AD29" i="7" a="1"/>
  <c r="AD29" i="7" s="1"/>
  <c r="Q29" i="7"/>
  <c r="AC29" i="7" s="1"/>
  <c r="AQ28" i="7"/>
  <c r="AD28" i="7" a="1"/>
  <c r="AD28" i="7" s="1"/>
  <c r="AC28" i="7"/>
  <c r="Q28" i="7"/>
  <c r="AQ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65" i="7" a="1"/>
  <c r="AX23" i="7" a="1"/>
  <c r="AR104" i="7" a="1"/>
  <c r="AR95" i="7" a="1"/>
  <c r="AR81" i="7" a="1"/>
  <c r="AR33" i="7" a="1"/>
  <c r="AR23" i="7" a="1"/>
  <c r="AR109" i="7" a="1"/>
  <c r="AR84" i="7" a="1"/>
  <c r="AR45" i="7" a="1"/>
  <c r="AR86" i="7" a="1"/>
  <c r="AR35" i="7" a="1"/>
  <c r="AX21" i="7" a="1"/>
  <c r="AR20" i="7" a="1"/>
  <c r="AR82" i="7" a="1"/>
  <c r="AR66" i="7" a="1"/>
  <c r="AR48" i="7" a="1"/>
  <c r="AR40" i="7" a="1"/>
  <c r="AR68" i="7" a="1"/>
  <c r="AR39" i="7" a="1"/>
  <c r="BI64" i="8" a="1"/>
  <c r="AR26" i="7" a="1"/>
  <c r="AR74" i="7" a="1"/>
  <c r="AR96" i="7" a="1"/>
  <c r="AX24" i="7" a="1"/>
  <c r="AR75" i="7" a="1"/>
  <c r="AR31" i="7" a="1"/>
  <c r="BI65" i="8" a="1"/>
  <c r="AR24" i="7" a="1"/>
  <c r="AR107" i="7" a="1"/>
  <c r="AR83" i="7" a="1"/>
  <c r="AR46" i="7" a="1"/>
  <c r="AR70" i="7" a="1"/>
  <c r="AR91" i="7" a="1"/>
  <c r="AR57" i="7" a="1"/>
  <c r="AR37" i="7" a="1"/>
  <c r="AR89" i="7" a="1"/>
  <c r="AX26" i="7" a="1"/>
  <c r="AR71" i="7" a="1"/>
  <c r="AR78" i="7" a="1"/>
  <c r="AX20" i="7" a="1"/>
  <c r="AR49" i="7" a="1"/>
  <c r="AR47" i="7" a="1"/>
  <c r="AR98" i="7" a="1"/>
  <c r="AR34" i="7" a="1"/>
  <c r="AR42" i="7" a="1"/>
  <c r="AR44" i="7" a="1"/>
  <c r="AR41" i="7" a="1"/>
  <c r="AR58" i="7" a="1"/>
  <c r="AR88" i="7" a="1"/>
  <c r="AR92" i="7" a="1"/>
  <c r="AR43" i="7" a="1"/>
  <c r="AR77" i="7" a="1"/>
  <c r="AX22" i="7" a="1"/>
  <c r="AR36" i="7" a="1"/>
  <c r="AX25" i="7" a="1"/>
  <c r="AR62" i="7" a="1"/>
  <c r="AR87" i="7" a="1"/>
  <c r="AR63" i="7" a="1"/>
  <c r="AR59" i="7" a="1"/>
  <c r="AR38" i="7" a="1"/>
  <c r="AR27" i="7" a="1"/>
  <c r="AR102" i="7" a="1"/>
  <c r="AD21" i="20" l="1"/>
  <c r="AD23" i="20"/>
  <c r="AD24" i="20"/>
  <c r="AD25" i="20"/>
  <c r="AD26" i="20"/>
  <c r="AD28" i="20"/>
  <c r="AD29" i="20"/>
  <c r="AR30" i="7"/>
  <c r="AD103" i="20"/>
  <c r="AD32" i="20"/>
  <c r="AD33" i="20"/>
  <c r="AD35" i="20"/>
  <c r="AD37" i="20"/>
  <c r="AD38" i="20"/>
  <c r="AD41" i="20"/>
  <c r="AD43" i="20"/>
  <c r="AD44" i="20"/>
  <c r="AD45" i="20"/>
  <c r="AD48" i="20"/>
  <c r="AD49" i="20"/>
  <c r="AD50" i="20"/>
  <c r="AD53" i="20"/>
  <c r="AD54" i="20"/>
  <c r="AD55" i="20"/>
  <c r="AD56" i="20"/>
  <c r="AD58" i="20"/>
  <c r="AD59" i="20"/>
  <c r="AD60" i="20"/>
  <c r="AD61" i="20"/>
  <c r="AD62" i="20"/>
  <c r="AD65" i="20"/>
  <c r="AD67" i="20"/>
  <c r="AD68" i="20"/>
  <c r="AD69" i="20"/>
  <c r="AD70" i="20"/>
  <c r="AD74" i="20"/>
  <c r="AD75" i="20"/>
  <c r="AD76" i="20"/>
  <c r="AD79" i="20"/>
  <c r="AD80" i="20"/>
  <c r="AD81" i="20"/>
  <c r="AD84" i="20"/>
  <c r="AD85" i="20"/>
  <c r="AD86" i="20"/>
  <c r="AD89" i="20"/>
  <c r="AD90" i="20"/>
  <c r="AD93" i="20"/>
  <c r="AD94" i="20"/>
  <c r="AD97" i="20"/>
  <c r="AD98" i="20"/>
  <c r="AD101" i="20"/>
  <c r="AD102" i="20"/>
  <c r="AD105" i="20"/>
  <c r="AD106" i="20"/>
  <c r="AD109" i="20"/>
  <c r="AD110" i="20"/>
  <c r="AP2" i="8"/>
  <c r="AO2" i="8"/>
  <c r="AN8" i="8"/>
  <c r="AN7" i="8"/>
  <c r="AM12" i="8"/>
  <c r="AN11" i="8"/>
  <c r="AN12" i="8" s="1"/>
  <c r="AG49" i="17"/>
  <c r="AF49" i="17"/>
  <c r="AE49" i="17"/>
  <c r="AD49" i="17"/>
  <c r="AC49" i="17"/>
  <c r="AG49" i="6"/>
  <c r="AF49" i="6"/>
  <c r="AE49" i="6"/>
  <c r="AD49" i="6"/>
  <c r="AC49" i="6"/>
  <c r="AD54" i="4"/>
  <c r="J49" i="17"/>
  <c r="H49" i="17"/>
  <c r="F49" i="17"/>
  <c r="D49" i="17"/>
  <c r="C49" i="17"/>
  <c r="E49" i="17"/>
  <c r="G49" i="17"/>
  <c r="I49" i="17"/>
  <c r="J49" i="6"/>
  <c r="I49" i="6"/>
  <c r="H49" i="6"/>
  <c r="G49" i="6"/>
  <c r="F49" i="6"/>
  <c r="E49" i="6"/>
  <c r="C49" i="6"/>
  <c r="D49" i="6"/>
  <c r="AL22" i="8"/>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I65" i="8"/>
  <c r="BI64" i="8"/>
  <c r="AE60" i="7" a="1"/>
  <c r="AE60" i="7" s="1"/>
  <c r="AJ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C185" i="7"/>
  <c r="AN2" i="8"/>
  <c r="C177" i="7"/>
  <c r="C183" i="7"/>
  <c r="C182" i="7"/>
  <c r="C181" i="7"/>
  <c r="C178" i="7"/>
  <c r="AP1" i="8"/>
  <c r="AO1" i="8"/>
  <c r="AN1" i="8"/>
  <c r="AM1" i="8"/>
  <c r="AL1" i="8"/>
  <c r="AL2" i="8"/>
  <c r="AM2" i="8"/>
  <c r="AE18" i="8"/>
  <c r="K271" i="7"/>
  <c r="AM27" i="8" a="1"/>
  <c r="AM27" i="8" s="1"/>
  <c r="AB69" i="4" s="1"/>
  <c r="E31" i="13" s="1" a="1"/>
  <c r="E31" i="13" s="1"/>
  <c r="C271" i="7"/>
  <c r="C73" i="8"/>
  <c r="C69" i="8"/>
  <c r="C75" i="8"/>
  <c r="C68" i="8"/>
  <c r="C65" i="8"/>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AK67" i="4"/>
  <c r="CO28" i="13" s="1"/>
  <c r="W20" i="7" a="1"/>
  <c r="W20" i="7" s="1"/>
  <c r="S20" i="7" s="1"/>
  <c r="S6" i="6"/>
  <c r="T6" i="6"/>
  <c r="U6" i="6"/>
  <c r="V6" i="6"/>
  <c r="X6" i="6"/>
  <c r="Z6" i="6"/>
  <c r="AO6" i="6"/>
  <c r="AP6" i="6"/>
  <c r="AQ6" i="6"/>
  <c r="AR6" i="6"/>
  <c r="AS6" i="6"/>
  <c r="A7" i="6"/>
  <c r="A8" i="6" s="1"/>
  <c r="E7" i="6"/>
  <c r="G7" i="6"/>
  <c r="W7" i="6" s="1"/>
  <c r="I7" i="6"/>
  <c r="AK65" i="4"/>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AK70" i="4"/>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AK72" i="4"/>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AK92" i="4"/>
  <c r="W79" i="7" a="1"/>
  <c r="W79" i="7" s="1"/>
  <c r="S53" i="6"/>
  <c r="T53" i="6"/>
  <c r="U53" i="6"/>
  <c r="V53" i="6"/>
  <c r="X53" i="6"/>
  <c r="Y53" i="6"/>
  <c r="Z53" i="6"/>
  <c r="E54" i="6"/>
  <c r="U54" i="6" s="1"/>
  <c r="G54" i="6"/>
  <c r="I54" i="6"/>
  <c r="AK94" i="4"/>
  <c r="W75" i="7" a="1"/>
  <c r="W75" i="7" s="1"/>
  <c r="S54" i="6"/>
  <c r="T54" i="6"/>
  <c r="V54" i="6"/>
  <c r="W54" i="6"/>
  <c r="X54" i="6"/>
  <c r="Y54" i="6"/>
  <c r="Z54" i="6"/>
  <c r="E55" i="6"/>
  <c r="G55" i="6"/>
  <c r="W55" i="6" s="1"/>
  <c r="I55" i="6"/>
  <c r="Y55" i="6" s="1"/>
  <c r="S55" i="6"/>
  <c r="T55" i="6"/>
  <c r="U55" i="6"/>
  <c r="V55" i="6"/>
  <c r="X55" i="6"/>
  <c r="Z55" i="6"/>
  <c r="E56" i="6"/>
  <c r="G56" i="6"/>
  <c r="I56" i="6"/>
  <c r="AK84" i="4"/>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AK97" i="4"/>
  <c r="W97" i="7" a="1"/>
  <c r="W97" i="7" s="1"/>
  <c r="S66" i="6"/>
  <c r="T66" i="6"/>
  <c r="U66" i="6"/>
  <c r="V66" i="6"/>
  <c r="X66" i="6"/>
  <c r="Z66" i="6"/>
  <c r="E67" i="6"/>
  <c r="G67" i="6"/>
  <c r="I67" i="6"/>
  <c r="S67" i="6"/>
  <c r="T67" i="6"/>
  <c r="U67" i="6"/>
  <c r="V67" i="6"/>
  <c r="X67" i="6"/>
  <c r="Y67" i="6"/>
  <c r="Z67" i="6"/>
  <c r="E68" i="6"/>
  <c r="U68" i="6" s="1"/>
  <c r="G68" i="6"/>
  <c r="I68" i="6"/>
  <c r="AK87" i="4"/>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AK99" i="4"/>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AK96" i="4"/>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AK128" i="4"/>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AK129" i="4"/>
  <c r="CO56" i="13" s="1"/>
  <c r="W55" i="7" a="1"/>
  <c r="W55" i="7" s="1"/>
  <c r="S102" i="6"/>
  <c r="T102" i="6"/>
  <c r="U102" i="6"/>
  <c r="V102" i="6"/>
  <c r="X102" i="6"/>
  <c r="Y102" i="6"/>
  <c r="Z102" i="6"/>
  <c r="E103" i="6"/>
  <c r="G103" i="6"/>
  <c r="I103" i="6"/>
  <c r="S103" i="6"/>
  <c r="T103" i="6"/>
  <c r="U103" i="6"/>
  <c r="V103" i="6"/>
  <c r="W103" i="6"/>
  <c r="X103" i="6"/>
  <c r="Y103" i="6"/>
  <c r="Z103" i="6"/>
  <c r="E104" i="6"/>
  <c r="G104" i="6"/>
  <c r="I104" i="6"/>
  <c r="AK126" i="4"/>
  <c r="CO54" i="13" s="1"/>
  <c r="W56" i="7" a="1"/>
  <c r="W56" i="7" s="1"/>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52" i="7" a="1"/>
  <c r="AR103" i="7" a="1"/>
  <c r="AR56" i="7" a="1"/>
  <c r="AR61" i="7" a="1"/>
  <c r="AR51" i="7" a="1"/>
  <c r="AR22" i="7" a="1"/>
  <c r="AR72" i="7" a="1"/>
  <c r="AR85" i="7" a="1"/>
  <c r="AR64" i="7" a="1"/>
  <c r="AR69" i="7" a="1"/>
  <c r="AR101" i="7" a="1"/>
  <c r="AR97" i="7" a="1"/>
  <c r="AZ22" i="8" a="1"/>
  <c r="AR105" i="7" a="1"/>
  <c r="AR53" i="7" a="1"/>
  <c r="AR25" i="7" a="1"/>
  <c r="AR90" i="7" a="1"/>
  <c r="AR73" i="7" a="1"/>
  <c r="AR21" i="7" a="1"/>
  <c r="AR67" i="7" a="1"/>
  <c r="AR94" i="7" a="1"/>
  <c r="AR93" i="7" a="1"/>
  <c r="AZ27" i="8" a="1"/>
  <c r="AR55" i="7" a="1"/>
  <c r="AR76" i="7" a="1"/>
  <c r="AR110" i="7" a="1"/>
  <c r="AR79" i="7" a="1"/>
  <c r="AR100" i="7" a="1"/>
  <c r="AR106" i="7" a="1"/>
  <c r="AR32" i="7" a="1"/>
  <c r="AR80" i="7" a="1"/>
  <c r="AR60" i="7" a="1"/>
  <c r="AR99" i="7" a="1"/>
  <c r="AR50" i="7" a="1"/>
  <c r="AR108" i="7" a="1"/>
  <c r="AR54" i="7" a="1"/>
  <c r="C76" i="8" l="1"/>
  <c r="Y49" i="17"/>
  <c r="Q49" i="17"/>
  <c r="W49" i="17"/>
  <c r="O49" i="17"/>
  <c r="U49" i="17"/>
  <c r="M49" i="17"/>
  <c r="S49" i="17"/>
  <c r="K49" i="17"/>
  <c r="T49" i="17"/>
  <c r="L49" i="17"/>
  <c r="V49" i="17"/>
  <c r="N49" i="17"/>
  <c r="X49" i="17"/>
  <c r="P49" i="17"/>
  <c r="Z49" i="17"/>
  <c r="R49" i="17"/>
  <c r="AE110" i="20" a="1"/>
  <c r="AE110" i="20" s="1"/>
  <c r="AJ110" i="20" s="1"/>
  <c r="AE109" i="20" a="1"/>
  <c r="AE109" i="20" s="1"/>
  <c r="AJ109" i="20" s="1"/>
  <c r="AE106" i="20" a="1"/>
  <c r="AE106" i="20" s="1"/>
  <c r="AJ106" i="20" s="1"/>
  <c r="AE105" i="20" a="1"/>
  <c r="AE105" i="20" s="1"/>
  <c r="AJ105" i="20" s="1"/>
  <c r="AE102" i="20" a="1"/>
  <c r="AE102" i="20" s="1"/>
  <c r="AJ102" i="20" s="1"/>
  <c r="AE101" i="20" a="1"/>
  <c r="AE101" i="20" s="1"/>
  <c r="AJ101" i="20" s="1"/>
  <c r="AE98" i="20" a="1"/>
  <c r="AE98" i="20" s="1"/>
  <c r="AJ98" i="20" s="1"/>
  <c r="AE97" i="20" a="1"/>
  <c r="AE97" i="20" s="1"/>
  <c r="AJ97" i="20" s="1"/>
  <c r="AE94" i="20" a="1"/>
  <c r="AE94" i="20" s="1"/>
  <c r="AJ94" i="20" s="1"/>
  <c r="AE93" i="20" a="1"/>
  <c r="AE93" i="20" s="1"/>
  <c r="AJ93" i="20" s="1"/>
  <c r="AE90" i="20" a="1"/>
  <c r="AE90" i="20" s="1"/>
  <c r="AJ90" i="20" s="1"/>
  <c r="AE89" i="20" a="1"/>
  <c r="AE89" i="20" s="1"/>
  <c r="AJ89" i="20" s="1"/>
  <c r="AE86" i="20" a="1"/>
  <c r="AE86" i="20" s="1"/>
  <c r="AJ86" i="20" s="1"/>
  <c r="AE85" i="20" a="1"/>
  <c r="AE85" i="20" s="1"/>
  <c r="AJ85" i="20" s="1"/>
  <c r="AE84" i="20" a="1"/>
  <c r="AE84" i="20" s="1"/>
  <c r="AJ84" i="20" s="1"/>
  <c r="AE81" i="20" a="1"/>
  <c r="AE81" i="20" s="1"/>
  <c r="AJ81" i="20" s="1"/>
  <c r="AE80" i="20" a="1"/>
  <c r="AE80" i="20" s="1"/>
  <c r="AJ80" i="20" s="1"/>
  <c r="AE79" i="20" a="1"/>
  <c r="AE79" i="20" s="1"/>
  <c r="AJ79" i="20" s="1"/>
  <c r="AE76" i="20" a="1"/>
  <c r="AE76" i="20" s="1"/>
  <c r="AJ76" i="20" s="1"/>
  <c r="AE75" i="20" a="1"/>
  <c r="AE75" i="20" s="1"/>
  <c r="AJ75" i="20" s="1"/>
  <c r="AE74" i="20" a="1"/>
  <c r="AE74" i="20" s="1"/>
  <c r="AJ74" i="20" s="1"/>
  <c r="AE70" i="20" a="1"/>
  <c r="AE70" i="20" s="1"/>
  <c r="AJ70" i="20" s="1"/>
  <c r="AE69" i="20" a="1"/>
  <c r="AE69" i="20" s="1"/>
  <c r="AJ69" i="20" s="1"/>
  <c r="AE68" i="20" a="1"/>
  <c r="AE68" i="20" s="1"/>
  <c r="AJ68" i="20" s="1"/>
  <c r="AE67" i="20" a="1"/>
  <c r="AE67" i="20" s="1"/>
  <c r="AJ67" i="20" s="1"/>
  <c r="AE65" i="20" a="1"/>
  <c r="AE65" i="20" s="1"/>
  <c r="AJ65" i="20" s="1"/>
  <c r="AE62" i="20" a="1"/>
  <c r="AE62" i="20" s="1"/>
  <c r="AJ62" i="20" s="1"/>
  <c r="AE61" i="20" a="1"/>
  <c r="AE61" i="20" s="1"/>
  <c r="AJ61" i="20" s="1"/>
  <c r="AE60" i="20" a="1"/>
  <c r="AE60" i="20" s="1"/>
  <c r="AJ60" i="20" s="1"/>
  <c r="AE59" i="20" a="1"/>
  <c r="AE59" i="20" s="1"/>
  <c r="AJ59" i="20" s="1"/>
  <c r="AE58" i="20" a="1"/>
  <c r="AE58" i="20" s="1"/>
  <c r="AJ58" i="20" s="1"/>
  <c r="AE56" i="20" a="1"/>
  <c r="AE56" i="20" s="1"/>
  <c r="AJ56" i="20" s="1"/>
  <c r="AE55" i="20" a="1"/>
  <c r="AE55" i="20" s="1"/>
  <c r="AJ55" i="20" s="1"/>
  <c r="AE54" i="20" a="1"/>
  <c r="AE54" i="20" s="1"/>
  <c r="AJ54" i="20" s="1"/>
  <c r="AE53" i="20" a="1"/>
  <c r="AE53" i="20" s="1"/>
  <c r="AJ53" i="20" s="1"/>
  <c r="AE50" i="20" a="1"/>
  <c r="AE50" i="20" s="1"/>
  <c r="AJ50" i="20" s="1"/>
  <c r="AE49" i="20" a="1"/>
  <c r="AE49" i="20" s="1"/>
  <c r="AJ49" i="20" s="1"/>
  <c r="AE48" i="20" a="1"/>
  <c r="AE48" i="20" s="1"/>
  <c r="AJ48" i="20" s="1"/>
  <c r="AE45" i="20" a="1"/>
  <c r="AE45" i="20" s="1"/>
  <c r="AJ45" i="20" s="1"/>
  <c r="AE44" i="20" a="1"/>
  <c r="AE44" i="20" s="1"/>
  <c r="AJ44" i="20" s="1"/>
  <c r="AE43" i="20" a="1"/>
  <c r="AE43" i="20" s="1"/>
  <c r="AJ43" i="20" s="1"/>
  <c r="AE41" i="20" a="1"/>
  <c r="AE41" i="20" s="1"/>
  <c r="AJ41" i="20" s="1"/>
  <c r="AE38" i="20" a="1"/>
  <c r="AE38" i="20" s="1"/>
  <c r="AJ38" i="20" s="1"/>
  <c r="AE37" i="20" a="1"/>
  <c r="AE37" i="20" s="1"/>
  <c r="AJ37" i="20" s="1"/>
  <c r="AE35" i="20" a="1"/>
  <c r="AE35" i="20" s="1"/>
  <c r="AJ35" i="20" s="1"/>
  <c r="AE33" i="20" a="1"/>
  <c r="AE33" i="20" s="1"/>
  <c r="AJ33" i="20" s="1"/>
  <c r="AE32" i="20" a="1"/>
  <c r="AE32" i="20" s="1"/>
  <c r="AJ32" i="20" s="1"/>
  <c r="AE103" i="20" a="1"/>
  <c r="AE103" i="20" s="1"/>
  <c r="AJ103" i="20" s="1"/>
  <c r="AE29" i="20" a="1"/>
  <c r="AE29" i="20" s="1"/>
  <c r="AF29" i="20" s="1" a="1"/>
  <c r="AF29" i="20" s="1"/>
  <c r="AG29" i="20" s="1" a="1"/>
  <c r="AG29" i="20" s="1"/>
  <c r="AH29" i="20" s="1" a="1"/>
  <c r="AH29" i="20" s="1"/>
  <c r="AK29" i="20" s="1"/>
  <c r="AE28" i="20" a="1"/>
  <c r="AE28" i="20" s="1"/>
  <c r="AF28" i="20" s="1" a="1"/>
  <c r="AF28" i="20" s="1"/>
  <c r="AG28" i="20" s="1" a="1"/>
  <c r="AG28" i="20" s="1"/>
  <c r="AH28" i="20" s="1" a="1"/>
  <c r="AH28" i="20" s="1"/>
  <c r="AK28" i="20" s="1"/>
  <c r="AE26" i="20" a="1"/>
  <c r="AE26" i="20" s="1"/>
  <c r="AJ26" i="20" s="1"/>
  <c r="AE25" i="20" a="1"/>
  <c r="AE25" i="20" s="1"/>
  <c r="AJ25" i="20" s="1"/>
  <c r="AE24" i="20" a="1"/>
  <c r="AE24" i="20" s="1"/>
  <c r="AJ24" i="20" s="1"/>
  <c r="AE23" i="20" a="1"/>
  <c r="AE23" i="20" s="1"/>
  <c r="AJ23" i="20" s="1"/>
  <c r="AE21" i="20" a="1"/>
  <c r="AE21" i="20" s="1"/>
  <c r="AJ21" i="20" s="1"/>
  <c r="AK66" i="4"/>
  <c r="CO30" i="13" s="1"/>
  <c r="AK121" i="4"/>
  <c r="CO24" i="13" s="1"/>
  <c r="AK86" i="4"/>
  <c r="CO86" i="13" s="1"/>
  <c r="W21" i="7" a="1"/>
  <c r="W21" i="7" s="1"/>
  <c r="AK89" i="4"/>
  <c r="CO89" i="13" s="1"/>
  <c r="AK85" i="4"/>
  <c r="CO85" i="13" s="1"/>
  <c r="V109" i="7" a="1"/>
  <c r="V109" i="7" s="1"/>
  <c r="W93" i="7" a="1"/>
  <c r="W93" i="7" s="1"/>
  <c r="AK68" i="4"/>
  <c r="CO34" i="13" s="1"/>
  <c r="AK101" i="4"/>
  <c r="AK71" i="4"/>
  <c r="CO33" i="13" s="1"/>
  <c r="W43" i="7" a="1"/>
  <c r="W43" i="7" s="1"/>
  <c r="V48" i="7" a="1"/>
  <c r="V48" i="7" s="1"/>
  <c r="AK62" i="4"/>
  <c r="CO42" i="13" s="1"/>
  <c r="W61" i="7" a="1"/>
  <c r="W61" i="7" s="1"/>
  <c r="V21" i="7" a="1"/>
  <c r="V21" i="7" s="1"/>
  <c r="V92" i="7" a="1"/>
  <c r="V92" i="7" s="1"/>
  <c r="V20" i="7" a="1"/>
  <c r="V20" i="7" s="1"/>
  <c r="V116" i="7" s="1"/>
  <c r="AK123" i="4"/>
  <c r="CO36" i="13" s="1"/>
  <c r="W44" i="7" a="1"/>
  <c r="W44" i="7" s="1"/>
  <c r="AK61" i="4"/>
  <c r="CO41" i="13" s="1"/>
  <c r="AK64" i="4"/>
  <c r="CO29" i="13" s="1"/>
  <c r="AK127" i="4"/>
  <c r="CO55" i="13" s="1"/>
  <c r="AK83" i="4"/>
  <c r="CO83" i="13" s="1"/>
  <c r="AK79" i="4"/>
  <c r="CO79" i="13" s="1"/>
  <c r="AK90" i="4"/>
  <c r="CO90" i="13" s="1"/>
  <c r="V55" i="7" a="1"/>
  <c r="V55" i="7" s="1"/>
  <c r="V22" i="7" a="1"/>
  <c r="V22" i="7" s="1"/>
  <c r="V69" i="7" a="1"/>
  <c r="V69" i="7" s="1"/>
  <c r="V72" i="7" a="1"/>
  <c r="V72" i="7" s="1"/>
  <c r="V80" i="7" a="1"/>
  <c r="V80" i="7" s="1"/>
  <c r="V84" i="7" a="1"/>
  <c r="V84" i="7" s="1"/>
  <c r="V89" i="7" a="1"/>
  <c r="V89" i="7" s="1"/>
  <c r="AK75" i="4"/>
  <c r="CO75" i="13" s="1"/>
  <c r="AK114" i="4"/>
  <c r="CO51" i="13" s="1"/>
  <c r="AK116" i="4"/>
  <c r="CO18" i="13" s="1"/>
  <c r="AK60" i="4"/>
  <c r="CO40" i="13" s="1"/>
  <c r="AK103" i="4"/>
  <c r="CO66" i="13" s="1"/>
  <c r="AK93" i="4"/>
  <c r="AK91" i="4"/>
  <c r="AK78" i="4"/>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AK74" i="4"/>
  <c r="CO74" i="13" s="1"/>
  <c r="V74" i="7" a="1"/>
  <c r="V74" i="7" s="1"/>
  <c r="AK115" i="4"/>
  <c r="CO20" i="13" s="1"/>
  <c r="AK117" i="4"/>
  <c r="CO21" i="13" s="1"/>
  <c r="AK76" i="4"/>
  <c r="CO76" i="13" s="1"/>
  <c r="AK88" i="4"/>
  <c r="CO88" i="13" s="1"/>
  <c r="AK95" i="4"/>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AK112" i="4"/>
  <c r="CO49" i="13" s="1"/>
  <c r="V70" i="7" a="1"/>
  <c r="V70" i="7" s="1"/>
  <c r="AK110" i="4"/>
  <c r="CO46" i="13" s="1"/>
  <c r="AK113" i="4"/>
  <c r="CO50" i="13" s="1"/>
  <c r="AK119" i="4"/>
  <c r="AK77" i="4"/>
  <c r="CO77" i="13" s="1"/>
  <c r="AK82" i="4"/>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AK63" i="4"/>
  <c r="CO43" i="13" s="1"/>
  <c r="AK109" i="4"/>
  <c r="CO45" i="13" s="1"/>
  <c r="CQ45" i="13" s="1"/>
  <c r="CR45" i="13" s="1"/>
  <c r="AK111" i="4"/>
  <c r="CO48" i="13" s="1"/>
  <c r="AK105" i="4"/>
  <c r="CO68" i="13" s="1"/>
  <c r="AK81" i="4"/>
  <c r="CO81" i="13" s="1"/>
  <c r="W76" i="7" a="1"/>
  <c r="W76" i="7" s="1"/>
  <c r="W94" i="7" a="1"/>
  <c r="W94" i="7" s="1"/>
  <c r="V81" i="7" a="1"/>
  <c r="V81" i="7" s="1"/>
  <c r="V56" i="7" a="1"/>
  <c r="V56" i="7" s="1"/>
  <c r="V97" i="7" a="1"/>
  <c r="V97" i="7" s="1"/>
  <c r="AK124" i="4"/>
  <c r="CO37" i="13" s="1"/>
  <c r="AK106" i="4"/>
  <c r="CO69" i="13" s="1"/>
  <c r="AK107" i="4"/>
  <c r="CO70" i="13" s="1"/>
  <c r="AK98" i="4"/>
  <c r="AK100" i="4"/>
  <c r="W36" i="7" a="1"/>
  <c r="W36" i="7" s="1"/>
  <c r="W60" i="7" a="1"/>
  <c r="W60" i="7" s="1"/>
  <c r="W85" i="7" a="1"/>
  <c r="W85" i="7" s="1"/>
  <c r="V79" i="7" a="1"/>
  <c r="V79" i="7" s="1"/>
  <c r="V93" i="7" a="1"/>
  <c r="V93" i="7" s="1"/>
  <c r="V86" i="7" a="1"/>
  <c r="V86" i="7" s="1"/>
  <c r="W70" i="7" a="1"/>
  <c r="W70" i="7" s="1"/>
  <c r="W64" i="7" a="1"/>
  <c r="W64" i="7" s="1"/>
  <c r="W86" i="7" a="1"/>
  <c r="W86" i="7" s="1"/>
  <c r="V32" i="7" a="1"/>
  <c r="V32" i="7" s="1"/>
  <c r="V42" i="7" a="1"/>
  <c r="V42" i="7" s="1"/>
  <c r="V75" i="7" a="1"/>
  <c r="V75" i="7" s="1"/>
  <c r="V43" i="7" a="1"/>
  <c r="V43" i="7" s="1"/>
  <c r="V36" i="7" a="1"/>
  <c r="V36" i="7" s="1"/>
  <c r="V104" i="7" a="1"/>
  <c r="V104" i="7" s="1"/>
  <c r="AK122" i="4"/>
  <c r="CO25" i="13" s="1"/>
  <c r="AK118" i="4"/>
  <c r="CO19" i="13" s="1"/>
  <c r="AK59" i="4"/>
  <c r="CO39" i="13" s="1"/>
  <c r="AK80" i="4"/>
  <c r="CO80" i="13" s="1"/>
  <c r="W41" i="7" a="1"/>
  <c r="W41" i="7" s="1"/>
  <c r="V29" i="7" a="1"/>
  <c r="V29" i="7" s="1"/>
  <c r="V41" i="7" a="1"/>
  <c r="V41" i="7" s="1"/>
  <c r="V53" i="7" a="1"/>
  <c r="V53" i="7" s="1"/>
  <c r="V58" i="7" a="1"/>
  <c r="V58" i="7" s="1"/>
  <c r="V108" i="7" a="1"/>
  <c r="V108" i="7" s="1"/>
  <c r="W66" i="7" a="1"/>
  <c r="W66" i="7" s="1"/>
  <c r="AK120" i="4"/>
  <c r="CO23" i="13" s="1"/>
  <c r="AK104" i="4"/>
  <c r="CO67" i="13" s="1"/>
  <c r="V64" i="7" a="1"/>
  <c r="V64" i="7" s="1"/>
  <c r="W45" i="7" a="1"/>
  <c r="W45" i="7" s="1"/>
  <c r="W72" i="7" a="1"/>
  <c r="W72" i="7" s="1"/>
  <c r="W100" i="7" a="1"/>
  <c r="W100" i="7" s="1"/>
  <c r="W108" i="7" a="1"/>
  <c r="W108" i="7" s="1"/>
  <c r="V59" i="7" a="1"/>
  <c r="V59" i="7" s="1"/>
  <c r="AK125" i="4"/>
  <c r="CO53" i="13" s="1"/>
  <c r="AK102" i="4"/>
  <c r="CO65" i="13"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M22" i="8" a="1"/>
  <c r="AM22" i="8" s="1"/>
  <c r="AR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AJ58" i="7"/>
  <c r="AD116" i="8"/>
  <c r="AK69" i="4"/>
  <c r="CO31" i="13" s="1"/>
  <c r="U68" i="4"/>
  <c r="Z82" i="4"/>
  <c r="Z83" i="4"/>
  <c r="AL52" i="8"/>
  <c r="AL20" i="8"/>
  <c r="AA67" i="4" s="1"/>
  <c r="W27" i="7" a="1"/>
  <c r="W27" i="7" s="1"/>
  <c r="S27" i="7" s="1"/>
  <c r="W48" i="7" a="1"/>
  <c r="W48" i="7" s="1"/>
  <c r="W31" i="7" a="1"/>
  <c r="W31" i="7" s="1"/>
  <c r="W58" i="7" a="1"/>
  <c r="W58" i="7" s="1"/>
  <c r="AR90" i="7"/>
  <c r="AR79" i="7"/>
  <c r="AR53" i="7"/>
  <c r="AR22" i="7"/>
  <c r="AR80" i="7"/>
  <c r="AR110" i="7"/>
  <c r="AZ22" i="8"/>
  <c r="AR106" i="7"/>
  <c r="AR61" i="7"/>
  <c r="AR72" i="7"/>
  <c r="AR51" i="7"/>
  <c r="AR97" i="7"/>
  <c r="AR64" i="7"/>
  <c r="AR76" i="7"/>
  <c r="AR100" i="7"/>
  <c r="AR73" i="7"/>
  <c r="AR105" i="7"/>
  <c r="AR103" i="7"/>
  <c r="AR60" i="7"/>
  <c r="AR94" i="7"/>
  <c r="AR50" i="7"/>
  <c r="AR56" i="7"/>
  <c r="AR25" i="7"/>
  <c r="AR67" i="7"/>
  <c r="AZ27" i="8"/>
  <c r="AR108" i="7"/>
  <c r="AR85" i="7"/>
  <c r="AR21" i="7"/>
  <c r="AR101" i="7"/>
  <c r="AR93" i="7"/>
  <c r="AR52" i="7"/>
  <c r="AR54" i="7"/>
  <c r="AR99" i="7"/>
  <c r="AR69" i="7"/>
  <c r="AR55" i="7"/>
  <c r="AR32" i="7"/>
  <c r="AG53" i="7" a="1"/>
  <c r="AG53" i="7" s="1"/>
  <c r="AS25" i="7"/>
  <c r="AJ25" i="7"/>
  <c r="AF25" i="7" a="1"/>
  <c r="AF25" i="7" s="1"/>
  <c r="AG58" i="7" a="1"/>
  <c r="AG58" i="7" s="1"/>
  <c r="AF46" i="7" a="1"/>
  <c r="AF46" i="7" s="1"/>
  <c r="AJ38" i="7"/>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N27" i="8" a="1"/>
  <c r="AN27" i="8" s="1"/>
  <c r="AC69" i="4" s="1"/>
  <c r="F31" i="13" s="1" a="1"/>
  <c r="F31" i="13" s="1"/>
  <c r="AR27" i="8"/>
  <c r="AJ30" i="7"/>
  <c r="AE2" i="7"/>
  <c r="AJ23" i="7"/>
  <c r="AE56" i="7" a="1"/>
  <c r="AE56" i="7" s="1"/>
  <c r="AE21" i="7" a="1"/>
  <c r="AE21" i="7" s="1"/>
  <c r="AL81" i="4"/>
  <c r="Q81" i="13" s="1" a="1"/>
  <c r="Q81" i="13" s="1"/>
  <c r="AL88" i="4"/>
  <c r="Q88" i="13" s="1" a="1"/>
  <c r="Q88" i="13" s="1"/>
  <c r="AL85" i="4"/>
  <c r="Q85" i="13" s="1" a="1"/>
  <c r="Q85" i="13" s="1"/>
  <c r="AL100" i="4"/>
  <c r="Q100" i="13" s="1" a="1"/>
  <c r="Q100" i="13" s="1"/>
  <c r="AL77" i="4"/>
  <c r="Q77" i="13" s="1" a="1"/>
  <c r="Q77" i="13" s="1"/>
  <c r="AL101" i="4"/>
  <c r="Q101" i="13" s="1" a="1"/>
  <c r="Q101" i="13" s="1"/>
  <c r="AL80" i="4"/>
  <c r="Q80" i="13" s="1" a="1"/>
  <c r="Q80" i="13" s="1"/>
  <c r="AL99" i="4"/>
  <c r="Q99" i="13" s="1" a="1"/>
  <c r="Q99" i="13" s="1"/>
  <c r="AL98" i="4"/>
  <c r="Q98" i="13" s="1" a="1"/>
  <c r="Q98" i="13" s="1"/>
  <c r="AL78" i="4"/>
  <c r="Q78" i="13" s="1" a="1"/>
  <c r="Q78" i="13" s="1"/>
  <c r="AL87" i="4"/>
  <c r="Q87" i="13" s="1" a="1"/>
  <c r="Q87" i="13" s="1"/>
  <c r="AL93" i="4"/>
  <c r="Q93" i="13" s="1" a="1"/>
  <c r="Q93" i="13" s="1"/>
  <c r="AL83" i="4"/>
  <c r="Q83" i="13" s="1" a="1"/>
  <c r="Q83" i="13" s="1"/>
  <c r="AL90" i="4"/>
  <c r="Q90" i="13" s="1" a="1"/>
  <c r="Q90" i="13" s="1"/>
  <c r="AL94" i="4"/>
  <c r="Q94" i="13" s="1" a="1"/>
  <c r="Q94" i="13" s="1"/>
  <c r="AL89" i="4"/>
  <c r="Q89" i="13" s="1" a="1"/>
  <c r="Q89" i="13" s="1"/>
  <c r="AL97" i="4"/>
  <c r="Q97" i="13" s="1" a="1"/>
  <c r="Q97" i="13" s="1"/>
  <c r="AL73" i="4"/>
  <c r="Q73" i="13" s="1" a="1"/>
  <c r="Q73" i="13" s="1"/>
  <c r="AL126" i="4"/>
  <c r="Q54" i="13" s="1" a="1"/>
  <c r="Q54" i="13" s="1"/>
  <c r="AL86" i="4"/>
  <c r="Q86" i="13" s="1" a="1"/>
  <c r="Q86" i="13" s="1"/>
  <c r="AL103" i="4"/>
  <c r="Q66" i="13" s="1" a="1"/>
  <c r="Q66" i="13" s="1"/>
  <c r="AL127" i="4"/>
  <c r="Q55" i="13" s="1" a="1"/>
  <c r="Q55" i="13" s="1"/>
  <c r="AL72" i="4"/>
  <c r="Q72" i="13" s="1" a="1"/>
  <c r="Q72" i="13" s="1"/>
  <c r="AL128" i="4"/>
  <c r="Q57" i="13" s="1" a="1"/>
  <c r="Q57" i="13" s="1"/>
  <c r="AL76" i="4"/>
  <c r="Q76" i="13" s="1" a="1"/>
  <c r="Q76" i="13" s="1"/>
  <c r="AL92" i="4"/>
  <c r="Q92" i="13" s="1" a="1"/>
  <c r="Q92" i="13" s="1"/>
  <c r="AL125" i="4"/>
  <c r="Q53" i="13" s="1" a="1"/>
  <c r="Q53" i="13" s="1"/>
  <c r="AL84" i="4"/>
  <c r="Q84" i="13" s="1" a="1"/>
  <c r="Q84" i="13" s="1"/>
  <c r="AL60" i="4"/>
  <c r="Q40" i="13" s="1" a="1"/>
  <c r="Q40" i="13" s="1"/>
  <c r="AL112" i="4"/>
  <c r="Q49" i="13" s="1" a="1"/>
  <c r="Q49" i="13" s="1"/>
  <c r="AL75" i="4"/>
  <c r="Q75" i="13" s="1" a="1"/>
  <c r="Q75" i="13" s="1"/>
  <c r="AL102" i="4"/>
  <c r="Q65" i="13" s="1" a="1"/>
  <c r="Q65" i="13" s="1"/>
  <c r="AL129" i="4"/>
  <c r="Q56" i="13" s="1" a="1"/>
  <c r="Q56" i="13" s="1"/>
  <c r="AL61" i="4"/>
  <c r="Q41" i="13" s="1" a="1"/>
  <c r="Q41" i="13" s="1"/>
  <c r="AL124" i="4"/>
  <c r="Q37" i="13" s="1" a="1"/>
  <c r="Q37" i="13" s="1"/>
  <c r="AL96" i="4"/>
  <c r="Q96" i="13" s="1" a="1"/>
  <c r="Q96" i="13" s="1"/>
  <c r="AL82" i="4"/>
  <c r="Q82" i="13" s="1" a="1"/>
  <c r="Q82" i="13" s="1"/>
  <c r="AL107" i="4"/>
  <c r="Q70" i="13" s="1" a="1"/>
  <c r="Q70" i="13" s="1"/>
  <c r="AL106" i="4"/>
  <c r="Q69" i="13" s="1" a="1"/>
  <c r="Q69" i="13" s="1"/>
  <c r="AL95" i="4"/>
  <c r="Q95" i="13" s="1" a="1"/>
  <c r="Q95" i="13" s="1"/>
  <c r="AL91" i="4"/>
  <c r="Q91" i="13" s="1" a="1"/>
  <c r="Q91" i="13" s="1"/>
  <c r="AL104" i="4"/>
  <c r="Q67" i="13" s="1" a="1"/>
  <c r="Q67" i="13" s="1"/>
  <c r="AL62" i="4"/>
  <c r="Q42" i="13" s="1" a="1"/>
  <c r="Q42" i="13" s="1"/>
  <c r="AL111" i="4"/>
  <c r="Q48" i="13" s="1" a="1"/>
  <c r="Q48" i="13" s="1"/>
  <c r="AL120" i="4"/>
  <c r="Q23" i="13" s="1" a="1"/>
  <c r="Q23" i="13" s="1"/>
  <c r="AL118" i="4"/>
  <c r="Q19" i="13" s="1" a="1"/>
  <c r="Q19" i="13" s="1"/>
  <c r="AL74" i="4"/>
  <c r="Q74" i="13" s="1" a="1"/>
  <c r="Q74" i="13" s="1"/>
  <c r="AL71" i="4"/>
  <c r="Q33" i="13" s="1" a="1"/>
  <c r="Q33" i="13" s="1"/>
  <c r="AL122" i="4"/>
  <c r="Q25" i="13" s="1" a="1"/>
  <c r="Q25" i="13" s="1"/>
  <c r="AL64" i="4"/>
  <c r="Q29" i="13" s="1" a="1"/>
  <c r="Q29" i="13" s="1"/>
  <c r="AL79" i="4"/>
  <c r="Q79" i="13" s="1" a="1"/>
  <c r="Q79" i="13" s="1"/>
  <c r="AL59" i="4"/>
  <c r="Q39" i="13" s="1" a="1"/>
  <c r="Q39" i="13" s="1"/>
  <c r="AL110" i="4"/>
  <c r="Q46" i="13" s="1" a="1"/>
  <c r="Q46" i="13" s="1"/>
  <c r="AL116" i="4"/>
  <c r="Q18" i="13" s="1" a="1"/>
  <c r="Q18" i="13" s="1"/>
  <c r="AL113" i="4"/>
  <c r="Q50" i="13" s="1" a="1"/>
  <c r="Q50" i="13" s="1"/>
  <c r="AL119" i="4"/>
  <c r="Q22" i="13" s="1" a="1"/>
  <c r="Q22" i="13" s="1"/>
  <c r="AL70" i="4"/>
  <c r="Q32" i="13" s="1" a="1"/>
  <c r="Q32" i="13" s="1"/>
  <c r="AL121" i="4"/>
  <c r="Q24" i="13" s="1" a="1"/>
  <c r="Q24" i="13" s="1"/>
  <c r="AL66" i="4"/>
  <c r="Q30" i="13" s="1" a="1"/>
  <c r="Q30" i="13" s="1"/>
  <c r="AL105" i="4"/>
  <c r="Q68" i="13" s="1" a="1"/>
  <c r="Q68" i="13" s="1"/>
  <c r="AL123" i="4"/>
  <c r="Q36" i="13" s="1" a="1"/>
  <c r="Q36" i="13" s="1"/>
  <c r="AL114" i="4"/>
  <c r="Q51" i="13" s="1" a="1"/>
  <c r="Q51" i="13" s="1"/>
  <c r="AL69" i="4"/>
  <c r="Q31" i="13" s="1" a="1"/>
  <c r="Q31" i="13" s="1"/>
  <c r="AL68" i="4"/>
  <c r="Q34" i="13" s="1" a="1"/>
  <c r="Q34" i="13" s="1"/>
  <c r="AL115" i="4"/>
  <c r="Q20" i="13" s="1" a="1"/>
  <c r="Q20" i="13" s="1"/>
  <c r="AL63" i="4"/>
  <c r="Q43" i="13" s="1" a="1"/>
  <c r="Q43" i="13" s="1"/>
  <c r="AL117" i="4"/>
  <c r="Q21" i="13" s="1" a="1"/>
  <c r="Q21" i="13" s="1"/>
  <c r="AL65" i="4"/>
  <c r="Q27" i="13" s="1" a="1"/>
  <c r="Q27" i="13" s="1"/>
  <c r="T82" i="4"/>
  <c r="AF18" i="8"/>
  <c r="AJ43" i="7"/>
  <c r="AE29" i="7" a="1"/>
  <c r="AE29" i="7" s="1"/>
  <c r="AE54" i="7" a="1"/>
  <c r="AE54" i="7" s="1"/>
  <c r="AJ63" i="7"/>
  <c r="C191" i="7"/>
  <c r="C192" i="7" s="1"/>
  <c r="AF42" i="7" a="1"/>
  <c r="AF42" i="7" s="1"/>
  <c r="AF61" i="7" a="1"/>
  <c r="AF61" i="7" s="1"/>
  <c r="AF43" i="7" a="1"/>
  <c r="AF43" i="7" s="1"/>
  <c r="AF57" i="7" a="1"/>
  <c r="AF57" i="7" s="1"/>
  <c r="T108" i="4"/>
  <c r="T87" i="4"/>
  <c r="C82" i="8"/>
  <c r="AJ51" i="7"/>
  <c r="AE34" i="7" a="1"/>
  <c r="AE34" i="7" s="1"/>
  <c r="AE37" i="7" a="1"/>
  <c r="AE37" i="7" s="1"/>
  <c r="AE26" i="7" a="1"/>
  <c r="AE26" i="7" s="1"/>
  <c r="AE62" i="7" a="1"/>
  <c r="AE62" i="7" s="1"/>
  <c r="AE47" i="7" a="1"/>
  <c r="AE47" i="7" s="1"/>
  <c r="AJ49" i="7"/>
  <c r="T70" i="4"/>
  <c r="T119" i="4" s="1"/>
  <c r="T124" i="4"/>
  <c r="T127"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R79" i="20" a="1"/>
  <c r="AS40" i="7" a="1"/>
  <c r="AR21" i="20" a="1"/>
  <c r="AR84" i="20" a="1"/>
  <c r="AR48" i="20" a="1"/>
  <c r="AR65" i="20" a="1"/>
  <c r="AR24" i="20" a="1"/>
  <c r="AR61" i="20" a="1"/>
  <c r="AR89" i="20" a="1"/>
  <c r="AR53" i="20" a="1"/>
  <c r="AR49" i="20" a="1"/>
  <c r="AR75" i="20" a="1"/>
  <c r="AT63" i="7" a="1"/>
  <c r="AR43" i="20" a="1"/>
  <c r="AR90" i="20" a="1"/>
  <c r="AS33" i="7" a="1"/>
  <c r="AS53" i="7" a="1"/>
  <c r="AR70" i="20" a="1"/>
  <c r="AR37" i="20" a="1"/>
  <c r="AR109" i="20" a="1"/>
  <c r="AR81" i="20" a="1"/>
  <c r="AS43" i="7" a="1"/>
  <c r="AR62" i="20" a="1"/>
  <c r="AT58" i="7" a="1"/>
  <c r="AR80" i="20" a="1"/>
  <c r="AR98" i="20" a="1"/>
  <c r="AR85" i="20" a="1"/>
  <c r="AR55" i="20" a="1"/>
  <c r="AR74" i="20" a="1"/>
  <c r="AR101" i="20" a="1"/>
  <c r="AR94" i="20" a="1"/>
  <c r="AR106" i="20" a="1"/>
  <c r="AS63" i="7" a="1"/>
  <c r="AR26" i="20" a="1"/>
  <c r="AS58" i="7" a="1"/>
  <c r="BA27" i="8" a="1"/>
  <c r="AR110" i="20" a="1"/>
  <c r="AR41" i="20" a="1"/>
  <c r="AS46" i="7" a="1"/>
  <c r="AR35" i="20" a="1"/>
  <c r="AS51" i="7" a="1"/>
  <c r="AS57" i="7" a="1"/>
  <c r="AR44" i="20" a="1"/>
  <c r="AS42" i="7" a="1"/>
  <c r="AR68" i="20" a="1"/>
  <c r="AR58" i="20" a="1"/>
  <c r="AR86" i="20" a="1"/>
  <c r="AR103" i="20" a="1"/>
  <c r="AR60" i="20" a="1"/>
  <c r="AR102" i="20" a="1"/>
  <c r="AR25" i="20" a="1"/>
  <c r="AS60" i="7" a="1"/>
  <c r="AR23" i="20" a="1"/>
  <c r="AR69" i="20" a="1"/>
  <c r="AR67" i="20" a="1"/>
  <c r="AR93" i="20" a="1"/>
  <c r="AR33" i="20" a="1"/>
  <c r="AS61" i="7" a="1"/>
  <c r="AR45" i="20" a="1"/>
  <c r="AS49" i="7" a="1"/>
  <c r="AT53" i="7" a="1"/>
  <c r="AZ20" i="8" a="1"/>
  <c r="AR32" i="20" a="1"/>
  <c r="AR76" i="20" a="1"/>
  <c r="AR38" i="20" a="1"/>
  <c r="AR56" i="20" a="1"/>
  <c r="AR54" i="20" a="1"/>
  <c r="AZ52" i="8" a="1"/>
  <c r="AR97" i="20" a="1"/>
  <c r="AS38" i="7" a="1"/>
  <c r="AR50" i="20" a="1"/>
  <c r="AR59" i="20" a="1"/>
  <c r="AR105" i="20" a="1"/>
  <c r="AJ28" i="20" l="1"/>
  <c r="AJ29" i="20"/>
  <c r="AR32" i="20"/>
  <c r="AR38" i="20"/>
  <c r="AR45" i="20"/>
  <c r="AR53" i="20"/>
  <c r="AR58" i="20"/>
  <c r="AR62" i="20"/>
  <c r="AR69" i="20"/>
  <c r="AR76" i="20"/>
  <c r="AR84" i="20"/>
  <c r="AR90" i="20"/>
  <c r="AR98" i="20"/>
  <c r="AR106" i="20"/>
  <c r="AR21" i="20"/>
  <c r="AR33" i="20"/>
  <c r="AR41" i="20"/>
  <c r="AR48" i="20"/>
  <c r="AR54" i="20"/>
  <c r="AR59" i="20"/>
  <c r="AR65" i="20"/>
  <c r="AR70" i="20"/>
  <c r="AR79" i="20"/>
  <c r="AR85" i="20"/>
  <c r="AR93" i="20"/>
  <c r="AR101" i="20"/>
  <c r="AR109" i="20"/>
  <c r="AR23" i="20"/>
  <c r="AR35" i="20"/>
  <c r="AR43" i="20"/>
  <c r="AR49" i="20"/>
  <c r="AR55" i="20"/>
  <c r="AR60" i="20"/>
  <c r="AR67" i="20"/>
  <c r="AR74" i="20"/>
  <c r="AR80" i="20"/>
  <c r="AR86" i="20"/>
  <c r="AR94" i="20"/>
  <c r="AR102" i="20"/>
  <c r="AR110" i="20"/>
  <c r="AR26" i="20"/>
  <c r="AR24" i="20"/>
  <c r="AR103" i="20"/>
  <c r="AR37" i="20"/>
  <c r="AR44" i="20"/>
  <c r="AR50" i="20"/>
  <c r="AR56" i="20"/>
  <c r="AR61" i="20"/>
  <c r="AR68" i="20"/>
  <c r="AR75" i="20"/>
  <c r="AR81" i="20"/>
  <c r="AR89" i="20"/>
  <c r="AR97" i="20"/>
  <c r="AR105" i="20"/>
  <c r="AR25" i="20"/>
  <c r="C85" i="8"/>
  <c r="D85" i="8" s="1"/>
  <c r="C84" i="8"/>
  <c r="D84" i="8" s="1"/>
  <c r="AF21" i="20" a="1"/>
  <c r="AF21" i="20" s="1"/>
  <c r="AF23" i="20" a="1"/>
  <c r="AF23" i="20" s="1"/>
  <c r="AF24" i="20" a="1"/>
  <c r="AF24" i="20" s="1"/>
  <c r="AF25" i="20" a="1"/>
  <c r="AF25" i="20" s="1"/>
  <c r="AF26" i="20" a="1"/>
  <c r="AF26" i="20" s="1"/>
  <c r="AF103" i="20" a="1"/>
  <c r="AF103" i="20" s="1"/>
  <c r="AF32" i="20" a="1"/>
  <c r="AF32" i="20" s="1"/>
  <c r="AF33" i="20" a="1"/>
  <c r="AF33" i="20" s="1"/>
  <c r="AF35" i="20" a="1"/>
  <c r="AF35" i="20" s="1"/>
  <c r="AF37" i="20" a="1"/>
  <c r="AF37" i="20" s="1"/>
  <c r="AF38" i="20" a="1"/>
  <c r="AF38" i="20" s="1"/>
  <c r="AF41" i="20" a="1"/>
  <c r="AF41" i="20" s="1"/>
  <c r="AF43" i="20" a="1"/>
  <c r="AF43" i="20" s="1"/>
  <c r="AF44" i="20" a="1"/>
  <c r="AF44" i="20" s="1"/>
  <c r="AF45" i="20" a="1"/>
  <c r="AF45" i="20" s="1"/>
  <c r="AF48" i="20" a="1"/>
  <c r="AF48" i="20" s="1"/>
  <c r="AF49" i="20" a="1"/>
  <c r="AF49" i="20" s="1"/>
  <c r="AF50" i="20" a="1"/>
  <c r="AF50" i="20" s="1"/>
  <c r="AF53" i="20" a="1"/>
  <c r="AF53" i="20" s="1"/>
  <c r="AF54" i="20" a="1"/>
  <c r="AF54" i="20" s="1"/>
  <c r="AF55" i="20" a="1"/>
  <c r="AF55" i="20" s="1"/>
  <c r="AF56" i="20" a="1"/>
  <c r="AF56" i="20" s="1"/>
  <c r="AF58" i="20" a="1"/>
  <c r="AF58" i="20" s="1"/>
  <c r="AF59" i="20" a="1"/>
  <c r="AF59" i="20" s="1"/>
  <c r="AF60" i="20" a="1"/>
  <c r="AF60" i="20" s="1"/>
  <c r="AF61" i="20" a="1"/>
  <c r="AF61" i="20" s="1"/>
  <c r="AF62" i="20" a="1"/>
  <c r="AF62" i="20" s="1"/>
  <c r="AF65" i="20" a="1"/>
  <c r="AF65" i="20" s="1"/>
  <c r="AF67" i="20" a="1"/>
  <c r="AF67" i="20" s="1"/>
  <c r="AF68" i="20" a="1"/>
  <c r="AF68" i="20" s="1"/>
  <c r="AF69" i="20" a="1"/>
  <c r="AF69" i="20" s="1"/>
  <c r="AF70" i="20" a="1"/>
  <c r="AF70" i="20" s="1"/>
  <c r="AF74" i="20" a="1"/>
  <c r="AF74" i="20" s="1"/>
  <c r="AF75" i="20" a="1"/>
  <c r="AF75" i="20" s="1"/>
  <c r="AF76" i="20" a="1"/>
  <c r="AF76" i="20" s="1"/>
  <c r="AF79" i="20" a="1"/>
  <c r="AF79" i="20" s="1"/>
  <c r="AF80" i="20" a="1"/>
  <c r="AF80" i="20" s="1"/>
  <c r="AF81" i="20" a="1"/>
  <c r="AF81" i="20" s="1"/>
  <c r="AF84" i="20" a="1"/>
  <c r="AF84" i="20" s="1"/>
  <c r="AF85" i="20" a="1"/>
  <c r="AF85" i="20" s="1"/>
  <c r="AF86" i="20" a="1"/>
  <c r="AF86" i="20" s="1"/>
  <c r="AF89" i="20" a="1"/>
  <c r="AF89" i="20" s="1"/>
  <c r="AF90" i="20" a="1"/>
  <c r="AF90" i="20" s="1"/>
  <c r="AF93" i="20" a="1"/>
  <c r="AF93" i="20" s="1"/>
  <c r="AF94" i="20" a="1"/>
  <c r="AF94" i="20" s="1"/>
  <c r="AF97" i="20" a="1"/>
  <c r="AF97" i="20" s="1"/>
  <c r="AF98" i="20" a="1"/>
  <c r="AF98" i="20" s="1"/>
  <c r="AF101" i="20" a="1"/>
  <c r="AF101" i="20" s="1"/>
  <c r="AF102" i="20" a="1"/>
  <c r="AF102" i="20" s="1"/>
  <c r="AF105" i="20" a="1"/>
  <c r="AF105" i="20" s="1"/>
  <c r="AF106" i="20" a="1"/>
  <c r="AF106" i="20" s="1"/>
  <c r="AF109" i="20" a="1"/>
  <c r="AF109" i="20" s="1"/>
  <c r="AF110" i="20" a="1"/>
  <c r="AF110" i="20" s="1"/>
  <c r="AK108" i="4"/>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N22" i="8" a="1"/>
  <c r="AN22" i="8" s="1"/>
  <c r="AO22" i="8" s="1" a="1"/>
  <c r="AO22" i="8" s="1"/>
  <c r="AM52" i="8" a="1"/>
  <c r="AM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U87" i="4"/>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AK73" i="4"/>
  <c r="CO73" i="13" s="1"/>
  <c r="CQ73" i="13" s="1"/>
  <c r="V73" i="7" a="1"/>
  <c r="V73" i="7" s="1"/>
  <c r="S20" i="8"/>
  <c r="AL67" i="4"/>
  <c r="BH146" i="1"/>
  <c r="BL146" i="1"/>
  <c r="BL142" i="1"/>
  <c r="T126" i="4"/>
  <c r="AZ20" i="8"/>
  <c r="AZ52" i="8"/>
  <c r="AL91" i="8"/>
  <c r="AL87" i="8"/>
  <c r="AL57" i="8"/>
  <c r="AL71" i="8"/>
  <c r="AL34" i="8"/>
  <c r="AA116" i="4" s="1"/>
  <c r="AL78" i="8"/>
  <c r="AA74" i="4" s="1"/>
  <c r="AL72" i="8"/>
  <c r="AA72" i="4" s="1"/>
  <c r="AL42" i="8"/>
  <c r="AL83" i="8"/>
  <c r="AA75" i="4" s="1"/>
  <c r="AL96" i="8"/>
  <c r="AA78" i="4" s="1"/>
  <c r="AL47" i="8"/>
  <c r="AA123" i="4" s="1"/>
  <c r="AL31" i="8"/>
  <c r="AA118" i="4" s="1"/>
  <c r="AL88" i="8"/>
  <c r="AA76" i="4" s="1"/>
  <c r="AL46" i="8"/>
  <c r="AL21" i="8"/>
  <c r="AA68" i="4" s="1"/>
  <c r="AL26" i="8"/>
  <c r="AL29" i="8"/>
  <c r="AA70" i="4" s="1"/>
  <c r="AM20" i="8" a="1"/>
  <c r="AM20" i="8" s="1"/>
  <c r="AB67" i="4" s="1"/>
  <c r="E28" i="13" s="1" a="1"/>
  <c r="E28" i="13" s="1"/>
  <c r="AL23" i="8"/>
  <c r="AA66" i="4" s="1"/>
  <c r="AL24" i="8"/>
  <c r="AA64" i="4" s="1"/>
  <c r="AL25" i="8"/>
  <c r="AL28" i="8"/>
  <c r="AA71" i="4" s="1"/>
  <c r="AL104" i="8"/>
  <c r="AA80" i="4" s="1"/>
  <c r="AL51" i="8"/>
  <c r="AL40" i="8"/>
  <c r="AA110" i="4" s="1"/>
  <c r="AL99" i="8"/>
  <c r="AL61" i="8"/>
  <c r="AA129" i="4" s="1"/>
  <c r="AL54" i="8"/>
  <c r="AA63" i="4" s="1"/>
  <c r="AL60" i="8"/>
  <c r="AA127" i="4" s="1"/>
  <c r="AL55" i="8"/>
  <c r="AA61" i="4" s="1"/>
  <c r="AL62" i="8"/>
  <c r="AA126" i="4" s="1"/>
  <c r="AL53" i="8"/>
  <c r="AA62" i="4" s="1"/>
  <c r="AL56" i="8"/>
  <c r="AA60" i="4" s="1"/>
  <c r="AL59" i="8"/>
  <c r="AA128" i="4" s="1"/>
  <c r="AL58" i="8"/>
  <c r="AA125" i="4" s="1"/>
  <c r="AL36" i="8"/>
  <c r="AA122" i="4" s="1"/>
  <c r="AL66" i="8"/>
  <c r="AA102" i="4" s="1"/>
  <c r="AL107" i="8"/>
  <c r="AL77" i="8"/>
  <c r="AL100" i="8"/>
  <c r="AA79" i="4" s="1"/>
  <c r="AL95" i="8"/>
  <c r="AL82" i="8"/>
  <c r="AL64" i="8"/>
  <c r="AA104" i="4" s="1"/>
  <c r="AL30" i="8"/>
  <c r="AL92" i="8"/>
  <c r="AA77" i="4" s="1"/>
  <c r="AL63" i="8"/>
  <c r="AL73" i="8"/>
  <c r="AA73" i="4" s="1"/>
  <c r="AL108" i="8"/>
  <c r="AA81" i="4" s="1"/>
  <c r="AL39" i="8"/>
  <c r="Y116" i="7"/>
  <c r="AS58" i="7"/>
  <c r="AS46" i="7"/>
  <c r="AS43" i="7"/>
  <c r="AT53" i="7"/>
  <c r="AS49" i="7"/>
  <c r="AT58" i="7"/>
  <c r="AS61" i="7"/>
  <c r="AS53" i="7"/>
  <c r="AS40" i="7"/>
  <c r="AS42" i="7"/>
  <c r="AS63" i="7"/>
  <c r="AS38" i="7"/>
  <c r="BA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AM86" i="4"/>
  <c r="R86" i="13" s="1" a="1"/>
  <c r="R86" i="13" s="1"/>
  <c r="AM101" i="4"/>
  <c r="R101" i="13" s="1" a="1"/>
  <c r="R101" i="13" s="1"/>
  <c r="AM80" i="4"/>
  <c r="R80" i="13" s="1" a="1"/>
  <c r="R80" i="13" s="1"/>
  <c r="AM79" i="4"/>
  <c r="R79" i="13" s="1" a="1"/>
  <c r="R79" i="13" s="1"/>
  <c r="AM98" i="4"/>
  <c r="R98" i="13" s="1" a="1"/>
  <c r="R98" i="13" s="1"/>
  <c r="AM76" i="4"/>
  <c r="R76" i="13" s="1" a="1"/>
  <c r="R76" i="13" s="1"/>
  <c r="AM95" i="4"/>
  <c r="R95" i="13" s="1" a="1"/>
  <c r="R95" i="13" s="1"/>
  <c r="AM78" i="4"/>
  <c r="R78" i="13" s="1" a="1"/>
  <c r="R78" i="13" s="1"/>
  <c r="AM87" i="4"/>
  <c r="R87" i="13" s="1" a="1"/>
  <c r="R87" i="13" s="1"/>
  <c r="AM100" i="4"/>
  <c r="R100" i="13" s="1" a="1"/>
  <c r="R100" i="13" s="1"/>
  <c r="AM93" i="4"/>
  <c r="R93" i="13" s="1" a="1"/>
  <c r="R93" i="13" s="1"/>
  <c r="AM83" i="4"/>
  <c r="R83" i="13" s="1" a="1"/>
  <c r="R83" i="13" s="1"/>
  <c r="AM90" i="4"/>
  <c r="R90" i="13" s="1" a="1"/>
  <c r="R90" i="13" s="1"/>
  <c r="AM94" i="4"/>
  <c r="R94" i="13" s="1" a="1"/>
  <c r="R94" i="13" s="1"/>
  <c r="AM89" i="4"/>
  <c r="R89" i="13" s="1" a="1"/>
  <c r="R89" i="13" s="1"/>
  <c r="AM75" i="4"/>
  <c r="R75" i="13" s="1" a="1"/>
  <c r="R75" i="13" s="1"/>
  <c r="AM92" i="4"/>
  <c r="R92" i="13" s="1" a="1"/>
  <c r="R92" i="13" s="1"/>
  <c r="AM81" i="4"/>
  <c r="R81" i="13" s="1" a="1"/>
  <c r="R81" i="13" s="1"/>
  <c r="AM129" i="4"/>
  <c r="R56" i="13" s="1" a="1"/>
  <c r="R56" i="13" s="1"/>
  <c r="AM103" i="4"/>
  <c r="R66" i="13" s="1" a="1"/>
  <c r="R66" i="13" s="1"/>
  <c r="AM88" i="4"/>
  <c r="R88" i="13" s="1" a="1"/>
  <c r="R88" i="13" s="1"/>
  <c r="AM72" i="4"/>
  <c r="R72" i="13" s="1" a="1"/>
  <c r="R72" i="13" s="1"/>
  <c r="AM128" i="4"/>
  <c r="R57" i="13" s="1" a="1"/>
  <c r="R57" i="13" s="1"/>
  <c r="AM74" i="4"/>
  <c r="R74" i="13" s="1" a="1"/>
  <c r="R74" i="13" s="1"/>
  <c r="AM82" i="4"/>
  <c r="R82" i="13" s="1" a="1"/>
  <c r="R82" i="13" s="1"/>
  <c r="AM91" i="4"/>
  <c r="R91" i="13" s="1" a="1"/>
  <c r="R91" i="13" s="1"/>
  <c r="AM106" i="4"/>
  <c r="R69" i="13" s="1" a="1"/>
  <c r="R69" i="13" s="1"/>
  <c r="AM102" i="4"/>
  <c r="R65" i="13" s="1" a="1"/>
  <c r="R65" i="13" s="1"/>
  <c r="AM104" i="4"/>
  <c r="R67" i="13" s="1" a="1"/>
  <c r="R67" i="13" s="1"/>
  <c r="AM85" i="4"/>
  <c r="R85" i="13" s="1" a="1"/>
  <c r="R85" i="13" s="1"/>
  <c r="AM84" i="4"/>
  <c r="R84" i="13" s="1" a="1"/>
  <c r="R84" i="13" s="1"/>
  <c r="AM99" i="4"/>
  <c r="R99" i="13" s="1" a="1"/>
  <c r="R99" i="13" s="1"/>
  <c r="AM73" i="4"/>
  <c r="R73" i="13" s="1" a="1"/>
  <c r="R73" i="13" s="1"/>
  <c r="AM105" i="4"/>
  <c r="R68" i="13" s="1" a="1"/>
  <c r="R68" i="13" s="1"/>
  <c r="AM77" i="4"/>
  <c r="R77" i="13" s="1" a="1"/>
  <c r="R77" i="13" s="1"/>
  <c r="AM61" i="4"/>
  <c r="R41" i="13" s="1" a="1"/>
  <c r="R41" i="13" s="1"/>
  <c r="AM124" i="4"/>
  <c r="R37" i="13" s="1" a="1"/>
  <c r="R37" i="13" s="1"/>
  <c r="AM125" i="4"/>
  <c r="R53" i="13" s="1" a="1"/>
  <c r="R53" i="13" s="1"/>
  <c r="AM63" i="4"/>
  <c r="R43" i="13" s="1" a="1"/>
  <c r="R43" i="13" s="1"/>
  <c r="AM123" i="4"/>
  <c r="R36" i="13" s="1" a="1"/>
  <c r="R36" i="13" s="1"/>
  <c r="AM70" i="4"/>
  <c r="R32" i="13" s="1" a="1"/>
  <c r="R32" i="13" s="1"/>
  <c r="AM97" i="4"/>
  <c r="R97" i="13" s="1" a="1"/>
  <c r="R97" i="13" s="1"/>
  <c r="AM107" i="4"/>
  <c r="R70" i="13" s="1" a="1"/>
  <c r="R70" i="13" s="1"/>
  <c r="AM122" i="4"/>
  <c r="R25" i="13" s="1" a="1"/>
  <c r="R25" i="13" s="1"/>
  <c r="AM64" i="4"/>
  <c r="R29" i="13" s="1" a="1"/>
  <c r="R29" i="13" s="1"/>
  <c r="AM113" i="4"/>
  <c r="R50" i="13" s="1" a="1"/>
  <c r="R50" i="13" s="1"/>
  <c r="AM115" i="4"/>
  <c r="R20" i="13" s="1" a="1"/>
  <c r="R20" i="13" s="1"/>
  <c r="AM96" i="4"/>
  <c r="R96" i="13" s="1" a="1"/>
  <c r="R96" i="13" s="1"/>
  <c r="AM127" i="4"/>
  <c r="R55" i="13" s="1" a="1"/>
  <c r="R55" i="13" s="1"/>
  <c r="AM66" i="4"/>
  <c r="R30" i="13" s="1" a="1"/>
  <c r="R30" i="13" s="1"/>
  <c r="AM126" i="4"/>
  <c r="R54" i="13" s="1" a="1"/>
  <c r="R54" i="13" s="1"/>
  <c r="AM121" i="4"/>
  <c r="R24" i="13" s="1" a="1"/>
  <c r="R24" i="13" s="1"/>
  <c r="AM69" i="4"/>
  <c r="R31" i="13" s="1" a="1"/>
  <c r="R31" i="13" s="1"/>
  <c r="AM117" i="4"/>
  <c r="R21" i="13" s="1" a="1"/>
  <c r="R21" i="13" s="1"/>
  <c r="AM65" i="4"/>
  <c r="R27" i="13" s="1" a="1"/>
  <c r="R27" i="13" s="1"/>
  <c r="AM60" i="4"/>
  <c r="R40" i="13" s="1" a="1"/>
  <c r="R40" i="13" s="1"/>
  <c r="AM112" i="4"/>
  <c r="R49" i="13" s="1" a="1"/>
  <c r="R49" i="13" s="1"/>
  <c r="AM59" i="4"/>
  <c r="R39" i="13" s="1" a="1"/>
  <c r="R39" i="13" s="1"/>
  <c r="AM111" i="4"/>
  <c r="R48" i="13" s="1" a="1"/>
  <c r="R48" i="13" s="1"/>
  <c r="AM114" i="4"/>
  <c r="R51" i="13" s="1" a="1"/>
  <c r="R51" i="13" s="1"/>
  <c r="AM68" i="4"/>
  <c r="R34" i="13" s="1" a="1"/>
  <c r="R34" i="13" s="1"/>
  <c r="AM119" i="4"/>
  <c r="R22" i="13" s="1" a="1"/>
  <c r="R22" i="13" s="1"/>
  <c r="AM118" i="4"/>
  <c r="R19" i="13" s="1" a="1"/>
  <c r="R19" i="13" s="1"/>
  <c r="AM62" i="4"/>
  <c r="R42" i="13" s="1" a="1"/>
  <c r="R42" i="13" s="1"/>
  <c r="AM120" i="4"/>
  <c r="R23" i="13" s="1" a="1"/>
  <c r="R23" i="13" s="1"/>
  <c r="AM116" i="4"/>
  <c r="R18" i="13" s="1" a="1"/>
  <c r="R18" i="13" s="1"/>
  <c r="AM67" i="4"/>
  <c r="R28" i="13" s="1" a="1"/>
  <c r="R28" i="13" s="1"/>
  <c r="AM110" i="4"/>
  <c r="R46" i="13" s="1" a="1"/>
  <c r="R46" i="13" s="1"/>
  <c r="AM71" i="4"/>
  <c r="R33" i="13" s="1" a="1"/>
  <c r="R33" i="13" s="1"/>
  <c r="AG18" i="8"/>
  <c r="C198" i="7"/>
  <c r="D198" i="7" s="1"/>
  <c r="C197" i="7"/>
  <c r="D197" i="7" s="1"/>
  <c r="AO27" i="8" a="1"/>
  <c r="AO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AF116" i="8"/>
  <c r="S27" i="8"/>
  <c r="AG42" i="7" a="1"/>
  <c r="AG42" i="7" s="1"/>
  <c r="AG40" i="7" a="1"/>
  <c r="AG40" i="7" s="1"/>
  <c r="AF27" i="7" a="1"/>
  <c r="AF27" i="7" s="1"/>
  <c r="AJ27" i="7"/>
  <c r="AG51" i="7" a="1"/>
  <c r="AG51" i="7" s="1"/>
  <c r="AF47" i="7" a="1"/>
  <c r="AF47" i="7" s="1"/>
  <c r="AJ47" i="7"/>
  <c r="AF48" i="7" a="1"/>
  <c r="AF48" i="7" s="1"/>
  <c r="AJ48" i="7"/>
  <c r="V105" i="4"/>
  <c r="V86" i="4"/>
  <c r="BM141" i="1"/>
  <c r="AR14" i="6"/>
  <c r="AM14" i="6"/>
  <c r="AS14" i="6" s="1"/>
  <c r="BH141" i="1"/>
  <c r="U115" i="4"/>
  <c r="V68" i="4"/>
  <c r="U121" i="4"/>
  <c r="U123" i="4"/>
  <c r="W53" i="4"/>
  <c r="X53" i="4" s="1"/>
  <c r="V81" i="4"/>
  <c r="V78" i="4"/>
  <c r="V62" i="4"/>
  <c r="U128" i="4"/>
  <c r="V103" i="4"/>
  <c r="BH140" i="1"/>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Z21" i="8" a="1"/>
  <c r="AZ88" i="8" a="1"/>
  <c r="AS81" i="20" a="1"/>
  <c r="AS37" i="20" a="1"/>
  <c r="AT33" i="7" a="1"/>
  <c r="AZ40" i="8" a="1"/>
  <c r="AZ36" i="8" a="1"/>
  <c r="AS56" i="20" a="1"/>
  <c r="AZ53" i="8" a="1"/>
  <c r="AZ54" i="8" a="1"/>
  <c r="AS43" i="20" a="1"/>
  <c r="AS105" i="20" a="1"/>
  <c r="AS54" i="20" a="1"/>
  <c r="AS79" i="20" a="1"/>
  <c r="AS24" i="20" a="1"/>
  <c r="AT42" i="7" a="1"/>
  <c r="AS62" i="20" a="1"/>
  <c r="AZ58" i="8" a="1"/>
  <c r="AS98" i="20" a="1"/>
  <c r="AZ82" i="8" a="1"/>
  <c r="AZ23" i="8" a="1"/>
  <c r="AS55" i="20" a="1"/>
  <c r="AZ108" i="8" a="1"/>
  <c r="AZ107" i="8" a="1"/>
  <c r="AS67" i="20" a="1"/>
  <c r="AZ39" i="8" a="1"/>
  <c r="AZ46" i="8" a="1"/>
  <c r="AS39" i="7" a="1"/>
  <c r="AZ72" i="8" a="1"/>
  <c r="AS84" i="20" a="1"/>
  <c r="AS54" i="7" a="1"/>
  <c r="AU53" i="7" a="1"/>
  <c r="AS94" i="20" a="1"/>
  <c r="AS50" i="20" a="1"/>
  <c r="AS32" i="20" a="1"/>
  <c r="AZ26" i="8" a="1"/>
  <c r="AT46" i="7" a="1"/>
  <c r="AZ25" i="8" a="1"/>
  <c r="AT40" i="7" a="1"/>
  <c r="AZ73" i="8" a="1"/>
  <c r="AT61" i="7" a="1"/>
  <c r="AS93" i="20" a="1"/>
  <c r="AS55" i="7" a="1"/>
  <c r="AS26" i="20" a="1"/>
  <c r="AZ59" i="8" a="1"/>
  <c r="AZ24" i="8" a="1"/>
  <c r="AZ71" i="8" a="1"/>
  <c r="AZ31" i="8" a="1"/>
  <c r="AS33" i="20" a="1"/>
  <c r="AS52" i="7" a="1"/>
  <c r="AS41" i="7" a="1"/>
  <c r="AT38" i="7" a="1"/>
  <c r="AZ62" i="8" a="1"/>
  <c r="AS110" i="20" a="1"/>
  <c r="AZ34" i="8" a="1"/>
  <c r="AS50" i="7" a="1"/>
  <c r="AS74" i="20" a="1"/>
  <c r="AS32" i="7" a="1"/>
  <c r="AS47" i="7" a="1"/>
  <c r="AZ63" i="8" a="1"/>
  <c r="AZ78" i="8" a="1"/>
  <c r="AS62" i="7" a="1"/>
  <c r="AS31" i="7" a="1"/>
  <c r="AZ95" i="8" a="1"/>
  <c r="AS25" i="20" a="1"/>
  <c r="AZ83" i="8" a="1"/>
  <c r="AS103" i="20" a="1"/>
  <c r="AS102" i="20" a="1"/>
  <c r="AZ99" i="8" a="1"/>
  <c r="AS53" i="20" a="1"/>
  <c r="AS23" i="20" a="1"/>
  <c r="AS35" i="20" a="1"/>
  <c r="AS44" i="20" a="1"/>
  <c r="AT60" i="7" a="1"/>
  <c r="AZ60" i="8" a="1"/>
  <c r="AZ57" i="8" a="1"/>
  <c r="AS37" i="7" a="1"/>
  <c r="AZ91" i="8" a="1"/>
  <c r="AT51" i="7" a="1"/>
  <c r="AS38" i="20" a="1"/>
  <c r="AS85" i="20" a="1"/>
  <c r="AS48" i="7" a="1"/>
  <c r="AZ51" i="8" a="1"/>
  <c r="AS109" i="20" a="1"/>
  <c r="BB27" i="8" a="1"/>
  <c r="AT49" i="7" a="1"/>
  <c r="AS34" i="7" a="1"/>
  <c r="AZ77" i="8" a="1"/>
  <c r="AS58" i="20" a="1"/>
  <c r="AZ64" i="8" a="1"/>
  <c r="AU63" i="7" a="1"/>
  <c r="AS106" i="20" a="1"/>
  <c r="AS59" i="20" a="1"/>
  <c r="AS90" i="20" a="1"/>
  <c r="AS35" i="7" a="1"/>
  <c r="AS27" i="7" a="1"/>
  <c r="AS59" i="7" a="1"/>
  <c r="AS56" i="7" a="1"/>
  <c r="AS69" i="20" a="1"/>
  <c r="AZ92" i="8" a="1"/>
  <c r="AZ55" i="8" a="1"/>
  <c r="AT43" i="7" a="1"/>
  <c r="AS68" i="20" a="1"/>
  <c r="AS21" i="20" a="1"/>
  <c r="AZ66" i="8" a="1"/>
  <c r="AZ61" i="8" a="1"/>
  <c r="BC22" i="8" a="1"/>
  <c r="AS65" i="20" a="1"/>
  <c r="AZ42" i="8" a="1"/>
  <c r="AS45" i="7" a="1"/>
  <c r="AS49" i="20" a="1"/>
  <c r="AS101" i="20" a="1"/>
  <c r="AZ56" i="8" a="1"/>
  <c r="AZ47" i="8" a="1"/>
  <c r="AZ104" i="8" a="1"/>
  <c r="BA22" i="8" a="1"/>
  <c r="AS70" i="20" a="1"/>
  <c r="AT57" i="7" a="1"/>
  <c r="AS86" i="20" a="1"/>
  <c r="AS44" i="7" a="1"/>
  <c r="AZ96" i="8" a="1"/>
  <c r="AS76" i="20" a="1"/>
  <c r="AS61" i="20" a="1"/>
  <c r="AZ100" i="8" a="1"/>
  <c r="AS80" i="20" a="1"/>
  <c r="AS48" i="20" a="1"/>
  <c r="AS75" i="20" a="1"/>
  <c r="AS97" i="20" a="1"/>
  <c r="AZ87" i="8" a="1"/>
  <c r="AU58" i="7" a="1"/>
  <c r="AS36" i="7" a="1"/>
  <c r="AS89" i="20" a="1"/>
  <c r="AS41" i="20" a="1"/>
  <c r="AS45" i="20" a="1"/>
  <c r="BA52" i="8" a="1"/>
  <c r="AS60" i="20" a="1"/>
  <c r="V77" i="4" l="1"/>
  <c r="V74" i="4"/>
  <c r="V107" i="4"/>
  <c r="V59" i="4"/>
  <c r="V79" i="4"/>
  <c r="V88" i="4"/>
  <c r="V87" i="4"/>
  <c r="V89" i="4"/>
  <c r="V75" i="4"/>
  <c r="V83" i="4"/>
  <c r="W83" i="4" s="1"/>
  <c r="X83" i="4" s="1"/>
  <c r="V84" i="4"/>
  <c r="W84" i="4" s="1"/>
  <c r="X84" i="4" s="1"/>
  <c r="V76" i="4"/>
  <c r="X76" i="4" s="1"/>
  <c r="V80" i="4"/>
  <c r="AS106" i="20"/>
  <c r="AS94" i="20"/>
  <c r="AS84" i="20"/>
  <c r="AS74" i="20"/>
  <c r="AS62" i="20"/>
  <c r="AS55" i="20"/>
  <c r="AS45" i="20"/>
  <c r="AS35" i="20"/>
  <c r="AS24" i="20"/>
  <c r="AS105" i="20"/>
  <c r="AS93" i="20"/>
  <c r="AS81" i="20"/>
  <c r="AS70" i="20"/>
  <c r="AS61" i="20"/>
  <c r="AS54" i="20"/>
  <c r="AS44" i="20"/>
  <c r="AS33" i="20"/>
  <c r="AS23" i="20"/>
  <c r="AS102" i="20"/>
  <c r="AS90" i="20"/>
  <c r="AS80" i="20"/>
  <c r="AS69" i="20"/>
  <c r="AS60" i="20"/>
  <c r="AS53" i="20"/>
  <c r="AS43" i="20"/>
  <c r="AS32" i="20"/>
  <c r="AS21" i="20"/>
  <c r="AS101" i="20"/>
  <c r="AS89" i="20"/>
  <c r="AS79" i="20"/>
  <c r="AS68" i="20"/>
  <c r="AS59" i="20"/>
  <c r="AS50" i="20"/>
  <c r="AS41" i="20"/>
  <c r="AS103" i="20"/>
  <c r="AS110" i="20"/>
  <c r="AS98" i="20"/>
  <c r="AS86" i="20"/>
  <c r="AS76" i="20"/>
  <c r="AS67" i="20"/>
  <c r="AS58" i="20"/>
  <c r="AS49" i="20"/>
  <c r="AS38" i="20"/>
  <c r="AS26" i="20"/>
  <c r="AS109" i="20"/>
  <c r="AS97" i="20"/>
  <c r="AS85" i="20"/>
  <c r="AS75" i="20"/>
  <c r="AS65" i="20"/>
  <c r="AS56" i="20"/>
  <c r="AS48" i="20"/>
  <c r="AS37" i="20"/>
  <c r="AS25" i="20"/>
  <c r="AG110" i="20" a="1"/>
  <c r="AG110" i="20" s="1"/>
  <c r="AG109" i="20" a="1"/>
  <c r="AG109" i="20" s="1"/>
  <c r="AG106" i="20" a="1"/>
  <c r="AG106" i="20" s="1"/>
  <c r="AG105" i="20" a="1"/>
  <c r="AG105" i="20" s="1"/>
  <c r="AG102" i="20" a="1"/>
  <c r="AG102" i="20" s="1"/>
  <c r="AG101" i="20" a="1"/>
  <c r="AG101" i="20" s="1"/>
  <c r="AG98" i="20" a="1"/>
  <c r="AG98" i="20" s="1"/>
  <c r="AG97" i="20" a="1"/>
  <c r="AG97" i="20" s="1"/>
  <c r="AG94" i="20" a="1"/>
  <c r="AG94" i="20" s="1"/>
  <c r="AG93" i="20" a="1"/>
  <c r="AG93" i="20" s="1"/>
  <c r="AG90" i="20" a="1"/>
  <c r="AG90" i="20" s="1"/>
  <c r="AG89" i="20" a="1"/>
  <c r="AG89" i="20" s="1"/>
  <c r="AG86" i="20" a="1"/>
  <c r="AG86" i="20" s="1"/>
  <c r="AG85" i="20" a="1"/>
  <c r="AG85" i="20" s="1"/>
  <c r="AG84" i="20" a="1"/>
  <c r="AG84" i="20" s="1"/>
  <c r="AG81" i="20" a="1"/>
  <c r="AG81" i="20" s="1"/>
  <c r="AG80" i="20" a="1"/>
  <c r="AG80" i="20" s="1"/>
  <c r="AG79" i="20" a="1"/>
  <c r="AG79" i="20" s="1"/>
  <c r="AG76" i="20" a="1"/>
  <c r="AG76" i="20" s="1"/>
  <c r="AG75" i="20" a="1"/>
  <c r="AG75" i="20" s="1"/>
  <c r="AG74" i="20" a="1"/>
  <c r="AG74" i="20" s="1"/>
  <c r="AG70" i="20" a="1"/>
  <c r="AG70" i="20" s="1"/>
  <c r="AG69" i="20" a="1"/>
  <c r="AG69" i="20" s="1"/>
  <c r="AG68" i="20" a="1"/>
  <c r="AG68" i="20" s="1"/>
  <c r="AG67" i="20" a="1"/>
  <c r="AG67" i="20" s="1"/>
  <c r="AG65" i="20" a="1"/>
  <c r="AG65" i="20" s="1"/>
  <c r="AG62" i="20" a="1"/>
  <c r="AG62" i="20" s="1"/>
  <c r="AG61" i="20" a="1"/>
  <c r="AG61" i="20" s="1"/>
  <c r="AG60" i="20" a="1"/>
  <c r="AG60" i="20" s="1"/>
  <c r="AG59" i="20" a="1"/>
  <c r="AG59" i="20" s="1"/>
  <c r="AG58" i="20" a="1"/>
  <c r="AG58" i="20" s="1"/>
  <c r="AG56" i="20" a="1"/>
  <c r="AG56" i="20" s="1"/>
  <c r="AG55" i="20" a="1"/>
  <c r="AG55" i="20" s="1"/>
  <c r="AG54" i="20" a="1"/>
  <c r="AG54" i="20" s="1"/>
  <c r="AG53" i="20" a="1"/>
  <c r="AG53" i="20" s="1"/>
  <c r="AG50" i="20" a="1"/>
  <c r="AG50" i="20" s="1"/>
  <c r="AG49" i="20" a="1"/>
  <c r="AG49" i="20" s="1"/>
  <c r="AG48" i="20" a="1"/>
  <c r="AG48" i="20" s="1"/>
  <c r="AG45" i="20" a="1"/>
  <c r="AG45" i="20" s="1"/>
  <c r="AG44" i="20" a="1"/>
  <c r="AG44" i="20" s="1"/>
  <c r="AG43" i="20" a="1"/>
  <c r="AG43" i="20" s="1"/>
  <c r="AG41" i="20" a="1"/>
  <c r="AG41" i="20" s="1"/>
  <c r="AG38" i="20" a="1"/>
  <c r="AG38" i="20" s="1"/>
  <c r="AG37" i="20" a="1"/>
  <c r="AG37" i="20" s="1"/>
  <c r="AG35" i="20" a="1"/>
  <c r="AG35" i="20" s="1"/>
  <c r="AG33" i="20" a="1"/>
  <c r="AG33" i="20" s="1"/>
  <c r="AG32" i="20" a="1"/>
  <c r="AG32" i="20" s="1"/>
  <c r="AG103" i="20" a="1"/>
  <c r="AG103" i="20" s="1"/>
  <c r="AG26" i="20" a="1"/>
  <c r="AG26" i="20" s="1"/>
  <c r="AG25" i="20" a="1"/>
  <c r="AG25" i="20" s="1"/>
  <c r="AG24" i="20" a="1"/>
  <c r="AG24" i="20" s="1"/>
  <c r="AG23" i="20" a="1"/>
  <c r="AG23" i="20" s="1"/>
  <c r="AG21" i="20" a="1"/>
  <c r="AG21" i="20" s="1"/>
  <c r="V85" i="4"/>
  <c r="W85" i="4" s="1"/>
  <c r="X85" i="4" s="1"/>
  <c r="V102" i="4"/>
  <c r="V82" i="4"/>
  <c r="BA22" i="8"/>
  <c r="AC65" i="4"/>
  <c r="F27" i="13" s="1" a="1"/>
  <c r="F27" i="13" s="1"/>
  <c r="V72" i="4"/>
  <c r="V73" i="4" s="1"/>
  <c r="V90" i="4"/>
  <c r="AR52" i="8"/>
  <c r="AN52" i="8" a="1"/>
  <c r="AN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AM109" i="4"/>
  <c r="R45" i="13" s="1" a="1"/>
  <c r="R45" i="13" s="1"/>
  <c r="AM108" i="4"/>
  <c r="R47" i="13" s="1" a="1"/>
  <c r="R47" i="13" s="1"/>
  <c r="I108" i="4"/>
  <c r="N108" i="4" s="1"/>
  <c r="I121" i="4"/>
  <c r="O110" i="4"/>
  <c r="K110" i="4"/>
  <c r="J119" i="4"/>
  <c r="O119" i="4" s="1"/>
  <c r="AR20" i="8"/>
  <c r="BC22" i="8"/>
  <c r="V70" i="4"/>
  <c r="X81" i="4"/>
  <c r="W87" i="4"/>
  <c r="X87" i="4" s="1"/>
  <c r="W80" i="4"/>
  <c r="V118" i="4"/>
  <c r="W78" i="4"/>
  <c r="AD65" i="4"/>
  <c r="G27" i="13" s="1" a="1"/>
  <c r="G27" i="13" s="1"/>
  <c r="AP22" i="8" a="1"/>
  <c r="AP22" i="8" s="1"/>
  <c r="W76" i="4"/>
  <c r="V64" i="4"/>
  <c r="W77" i="4"/>
  <c r="AZ108" i="8"/>
  <c r="AZ36" i="8"/>
  <c r="AZ51" i="8"/>
  <c r="AZ26" i="8"/>
  <c r="AZ78" i="8"/>
  <c r="AZ73" i="8"/>
  <c r="AZ58" i="8"/>
  <c r="AZ104" i="8"/>
  <c r="AZ21" i="8"/>
  <c r="AZ34" i="8"/>
  <c r="AZ63" i="8"/>
  <c r="AZ59" i="8"/>
  <c r="AZ46" i="8"/>
  <c r="AZ71" i="8"/>
  <c r="AZ92" i="8"/>
  <c r="AZ56" i="8"/>
  <c r="AZ88" i="8"/>
  <c r="AZ57" i="8"/>
  <c r="AZ53" i="8"/>
  <c r="AZ87" i="8"/>
  <c r="AZ64" i="8"/>
  <c r="AZ62" i="8"/>
  <c r="AZ91" i="8"/>
  <c r="AZ82" i="8"/>
  <c r="AZ55" i="8"/>
  <c r="AZ25" i="8"/>
  <c r="AZ31" i="8"/>
  <c r="AZ95" i="8"/>
  <c r="AZ60" i="8"/>
  <c r="AZ24" i="8"/>
  <c r="AZ47" i="8"/>
  <c r="AZ100" i="8"/>
  <c r="AZ54" i="8"/>
  <c r="AZ23" i="8"/>
  <c r="AZ96" i="8"/>
  <c r="AZ77" i="8"/>
  <c r="AZ61" i="8"/>
  <c r="AZ83" i="8"/>
  <c r="AZ107" i="8"/>
  <c r="AZ99" i="8"/>
  <c r="AZ42" i="8"/>
  <c r="AZ39" i="8"/>
  <c r="AZ66" i="8"/>
  <c r="AZ40" i="8"/>
  <c r="AZ72" i="8"/>
  <c r="AM108" i="8" a="1"/>
  <c r="AM108" i="8" s="1"/>
  <c r="AB81" i="4" s="1"/>
  <c r="E81" i="13" s="1" a="1"/>
  <c r="E81" i="13" s="1"/>
  <c r="AL110" i="8"/>
  <c r="AA90" i="4" s="1"/>
  <c r="AL109" i="8"/>
  <c r="AA101" i="4" s="1"/>
  <c r="AM36" i="8" a="1"/>
  <c r="AM36" i="8" s="1"/>
  <c r="AM51" i="8" a="1"/>
  <c r="AM51" i="8" s="1"/>
  <c r="AM26" i="8" a="1"/>
  <c r="AM26" i="8" s="1"/>
  <c r="AL81" i="8"/>
  <c r="AA83" i="4" s="1"/>
  <c r="AM78" i="8" a="1"/>
  <c r="AM78" i="8" s="1"/>
  <c r="AB74" i="4" s="1"/>
  <c r="E74" i="13" s="1" a="1"/>
  <c r="E74" i="13" s="1"/>
  <c r="AL79" i="8"/>
  <c r="AA92" i="4" s="1"/>
  <c r="AL80" i="8"/>
  <c r="AA94" i="4" s="1"/>
  <c r="AM73" i="8" a="1"/>
  <c r="AM73" i="8" s="1"/>
  <c r="AB73" i="4" s="1"/>
  <c r="AM58" i="8" a="1"/>
  <c r="AM58" i="8" s="1"/>
  <c r="AR58" i="8" s="1"/>
  <c r="AL106" i="8"/>
  <c r="AA89" i="4" s="1"/>
  <c r="AM104" i="8" a="1"/>
  <c r="AM104" i="8" s="1"/>
  <c r="AL105" i="8"/>
  <c r="AA100" i="4" s="1"/>
  <c r="AM21" i="8" a="1"/>
  <c r="AM21" i="8" s="1"/>
  <c r="AB68" i="4" s="1"/>
  <c r="E34" i="13" s="1" a="1"/>
  <c r="E34" i="13" s="1"/>
  <c r="AM34" i="8" a="1"/>
  <c r="AM34" i="8" s="1"/>
  <c r="AM63" i="8" a="1"/>
  <c r="AM63" i="8" s="1"/>
  <c r="AR63" i="8" s="1"/>
  <c r="AM59" i="8" a="1"/>
  <c r="AM59" i="8" s="1"/>
  <c r="AM46" i="8" a="1"/>
  <c r="AM46" i="8" s="1"/>
  <c r="AM71" i="8" a="1"/>
  <c r="AM71" i="8" s="1"/>
  <c r="AR71" i="8" s="1"/>
  <c r="AL93" i="8"/>
  <c r="AA97" i="4" s="1"/>
  <c r="AL94" i="8"/>
  <c r="AA86" i="4" s="1"/>
  <c r="AM92" i="8" a="1"/>
  <c r="AM92" i="8" s="1"/>
  <c r="AM56" i="8" a="1"/>
  <c r="AM56" i="8" s="1"/>
  <c r="AL90" i="8"/>
  <c r="AA85" i="4" s="1"/>
  <c r="AL89" i="8"/>
  <c r="AA96" i="4" s="1"/>
  <c r="AM88" i="8" a="1"/>
  <c r="AM88" i="8" s="1"/>
  <c r="AM57" i="8" a="1"/>
  <c r="AM57" i="8" s="1"/>
  <c r="AR57" i="8" s="1"/>
  <c r="O36" i="3"/>
  <c r="AD36" i="3" s="1"/>
  <c r="AZ30" i="8"/>
  <c r="AM30" i="8" a="1"/>
  <c r="AM30" i="8" s="1"/>
  <c r="AM53" i="8" a="1"/>
  <c r="AM53" i="8" s="1"/>
  <c r="AM87" i="8" a="1"/>
  <c r="AM87" i="8" s="1"/>
  <c r="AR87" i="8" s="1"/>
  <c r="AL69" i="8"/>
  <c r="AM64" i="8" a="1"/>
  <c r="AM64" i="8" s="1"/>
  <c r="AL65" i="8"/>
  <c r="AA105" i="4" s="1"/>
  <c r="AL70" i="8"/>
  <c r="AA106" i="4" s="1"/>
  <c r="AL68" i="8"/>
  <c r="AA107" i="4" s="1"/>
  <c r="AL67" i="8"/>
  <c r="AA103" i="4" s="1"/>
  <c r="AM62" i="8" a="1"/>
  <c r="AM62" i="8" s="1"/>
  <c r="AM28" i="8" a="1"/>
  <c r="AM28" i="8" s="1"/>
  <c r="AM91" i="8" a="1"/>
  <c r="AM91" i="8" s="1"/>
  <c r="AR91" i="8" s="1"/>
  <c r="AM82" i="8" a="1"/>
  <c r="AM82" i="8" s="1"/>
  <c r="AR82" i="8" s="1"/>
  <c r="AM55" i="8" a="1"/>
  <c r="AM55" i="8" s="1"/>
  <c r="AM25" i="8" a="1"/>
  <c r="AM25" i="8" s="1"/>
  <c r="AR25" i="8" s="1"/>
  <c r="AL33" i="8"/>
  <c r="AA121" i="4" s="1"/>
  <c r="AL38" i="8"/>
  <c r="AA119" i="4" s="1"/>
  <c r="AL35" i="8"/>
  <c r="AA115" i="4" s="1"/>
  <c r="AL37" i="8"/>
  <c r="AA120" i="4" s="1"/>
  <c r="AL32" i="8"/>
  <c r="AA117" i="4" s="1"/>
  <c r="AM31" i="8" a="1"/>
  <c r="AM31" i="8" s="1"/>
  <c r="AB118" i="4" s="1"/>
  <c r="E19" i="13" s="1" a="1"/>
  <c r="E19" i="13" s="1"/>
  <c r="AM95" i="8" a="1"/>
  <c r="AM95" i="8" s="1"/>
  <c r="AR95" i="8" s="1"/>
  <c r="AM60" i="8" a="1"/>
  <c r="AM60" i="8" s="1"/>
  <c r="AB127" i="4" s="1"/>
  <c r="E55" i="13" s="1" a="1"/>
  <c r="E55" i="13" s="1"/>
  <c r="AM24" i="8" a="1"/>
  <c r="AM24" i="8" s="1"/>
  <c r="AB64" i="4" s="1"/>
  <c r="E29" i="13" s="1" a="1"/>
  <c r="E29" i="13" s="1"/>
  <c r="AL48" i="8"/>
  <c r="AL49" i="8"/>
  <c r="AA124" i="4" s="1"/>
  <c r="AL50" i="8"/>
  <c r="AM47" i="8" a="1"/>
  <c r="AM47" i="8" s="1"/>
  <c r="AL101" i="8"/>
  <c r="AA99" i="4" s="1"/>
  <c r="AM100" i="8" a="1"/>
  <c r="AM100" i="8" s="1"/>
  <c r="AL103" i="8"/>
  <c r="AL102" i="8"/>
  <c r="AA88" i="4" s="1"/>
  <c r="AM54" i="8" a="1"/>
  <c r="AM54" i="8" s="1"/>
  <c r="AB63" i="4" s="1"/>
  <c r="E43" i="13" s="1" a="1"/>
  <c r="E43" i="13" s="1"/>
  <c r="AM23" i="8" a="1"/>
  <c r="AM23" i="8" s="1"/>
  <c r="AB66" i="4" s="1"/>
  <c r="E30" i="13" s="1" a="1"/>
  <c r="E30" i="13" s="1"/>
  <c r="AM96" i="8" a="1"/>
  <c r="AM96" i="8" s="1"/>
  <c r="AL97" i="8"/>
  <c r="AA98" i="4" s="1"/>
  <c r="AL98" i="8"/>
  <c r="AA87" i="4" s="1"/>
  <c r="AM77" i="8" a="1"/>
  <c r="AM77" i="8" s="1"/>
  <c r="AR77" i="8" s="1"/>
  <c r="AM61" i="8" a="1"/>
  <c r="AM61" i="8" s="1"/>
  <c r="AL84" i="8"/>
  <c r="AA93" i="4" s="1"/>
  <c r="AM83" i="8" a="1"/>
  <c r="AM83" i="8" s="1"/>
  <c r="AB75" i="4" s="1"/>
  <c r="E75" i="13" s="1" a="1"/>
  <c r="E75" i="13" s="1"/>
  <c r="AL85" i="8"/>
  <c r="AA95" i="4" s="1"/>
  <c r="AL86" i="8"/>
  <c r="AA84" i="4" s="1"/>
  <c r="AM107" i="8" a="1"/>
  <c r="AM107" i="8" s="1"/>
  <c r="AR107" i="8" s="1"/>
  <c r="AM99" i="8" a="1"/>
  <c r="AM99" i="8" s="1"/>
  <c r="AR99" i="8" s="1"/>
  <c r="AN20" i="8" a="1"/>
  <c r="AN20" i="8" s="1"/>
  <c r="AC67" i="4" s="1"/>
  <c r="F28" i="13" s="1" a="1"/>
  <c r="F28" i="13" s="1"/>
  <c r="AM42" i="8" a="1"/>
  <c r="AM42" i="8" s="1"/>
  <c r="AM39" i="8" a="1"/>
  <c r="AM39" i="8" s="1"/>
  <c r="AR39" i="8" s="1"/>
  <c r="AM66" i="8" a="1"/>
  <c r="AM66" i="8" s="1"/>
  <c r="AB102" i="4" s="1"/>
  <c r="E65" i="13" s="1" a="1"/>
  <c r="E65" i="13" s="1"/>
  <c r="AM40" i="8" a="1"/>
  <c r="AM40" i="8" s="1"/>
  <c r="AB110" i="4" s="1"/>
  <c r="E46" i="13" s="1" a="1"/>
  <c r="E46" i="13" s="1"/>
  <c r="AL41" i="8"/>
  <c r="AA113" i="4" s="1"/>
  <c r="AL45" i="8"/>
  <c r="AA111" i="4" s="1"/>
  <c r="AL43" i="8"/>
  <c r="AA114" i="4" s="1"/>
  <c r="AL44" i="8"/>
  <c r="AA112" i="4" s="1"/>
  <c r="AM29" i="8" a="1"/>
  <c r="AM29" i="8" s="1"/>
  <c r="AR29" i="8" s="1"/>
  <c r="AL75" i="8"/>
  <c r="AL74" i="8"/>
  <c r="AA91" i="4" s="1"/>
  <c r="AL76" i="8"/>
  <c r="AA82" i="4" s="1"/>
  <c r="AM72" i="8" a="1"/>
  <c r="AM72" i="8" s="1"/>
  <c r="AB72" i="4" s="1"/>
  <c r="E72" i="13" s="1" a="1"/>
  <c r="E72" i="13" s="1"/>
  <c r="E73" i="13" s="1"/>
  <c r="AS52" i="7"/>
  <c r="AS55" i="7"/>
  <c r="AU58" i="7"/>
  <c r="AS48" i="7"/>
  <c r="AT51" i="7"/>
  <c r="AS44" i="7"/>
  <c r="AS39" i="7"/>
  <c r="AS41" i="7"/>
  <c r="AT38" i="7"/>
  <c r="AS35" i="7"/>
  <c r="AS31" i="7"/>
  <c r="BA52" i="8"/>
  <c r="AT60" i="7"/>
  <c r="AS34" i="7"/>
  <c r="AS27" i="7"/>
  <c r="AT46" i="7"/>
  <c r="BB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AN90" i="4"/>
  <c r="S90" i="13" s="1" a="1"/>
  <c r="S90" i="13" s="1"/>
  <c r="AN89" i="4"/>
  <c r="S89" i="13" s="1" a="1"/>
  <c r="S89" i="13" s="1"/>
  <c r="AN99" i="4"/>
  <c r="S99" i="13" s="1" a="1"/>
  <c r="S99" i="13" s="1"/>
  <c r="AN87" i="4"/>
  <c r="S87" i="13" s="1" a="1"/>
  <c r="S87" i="13" s="1"/>
  <c r="AN97" i="4"/>
  <c r="S97" i="13" s="1" a="1"/>
  <c r="S97" i="13" s="1"/>
  <c r="AN96" i="4"/>
  <c r="S96" i="13" s="1" a="1"/>
  <c r="S96" i="13" s="1"/>
  <c r="AN84" i="4"/>
  <c r="S84" i="13" s="1" a="1"/>
  <c r="S84" i="13" s="1"/>
  <c r="AN78" i="4"/>
  <c r="S78" i="13" s="1" a="1"/>
  <c r="S78" i="13" s="1"/>
  <c r="AN81" i="4"/>
  <c r="S81" i="13" s="1" a="1"/>
  <c r="S81" i="13" s="1"/>
  <c r="AN88" i="4"/>
  <c r="S88" i="13" s="1" a="1"/>
  <c r="S88" i="13" s="1"/>
  <c r="AN79" i="4"/>
  <c r="S79" i="13" s="1" a="1"/>
  <c r="S79" i="13" s="1"/>
  <c r="AN100" i="4"/>
  <c r="S100" i="13" s="1" a="1"/>
  <c r="S100" i="13" s="1"/>
  <c r="AN72" i="4"/>
  <c r="S72" i="13" s="1" a="1"/>
  <c r="S72" i="13" s="1"/>
  <c r="AN98" i="4"/>
  <c r="S98" i="13" s="1" a="1"/>
  <c r="S98" i="13" s="1"/>
  <c r="AN101" i="4"/>
  <c r="S101" i="13" s="1" a="1"/>
  <c r="S101" i="13" s="1"/>
  <c r="AN94" i="4"/>
  <c r="S94" i="13" s="1" a="1"/>
  <c r="S94" i="13" s="1"/>
  <c r="AN75" i="4"/>
  <c r="S75" i="13" s="1" a="1"/>
  <c r="S75" i="13" s="1"/>
  <c r="AN92" i="4"/>
  <c r="S92" i="13" s="1" a="1"/>
  <c r="S92" i="13" s="1"/>
  <c r="AN80" i="4"/>
  <c r="S80" i="13" s="1" a="1"/>
  <c r="S80" i="13" s="1"/>
  <c r="AN85" i="4"/>
  <c r="S85" i="13" s="1" a="1"/>
  <c r="S85" i="13" s="1"/>
  <c r="AN74" i="4"/>
  <c r="S74" i="13" s="1" a="1"/>
  <c r="S74" i="13" s="1"/>
  <c r="AN103" i="4"/>
  <c r="S66" i="13" s="1" a="1"/>
  <c r="S66" i="13" s="1"/>
  <c r="AN127" i="4"/>
  <c r="S55" i="13" s="1" a="1"/>
  <c r="S55" i="13" s="1"/>
  <c r="AN106" i="4"/>
  <c r="S69" i="13" s="1" a="1"/>
  <c r="S69" i="13" s="1"/>
  <c r="AN102" i="4"/>
  <c r="S65" i="13" s="1" a="1"/>
  <c r="S65" i="13" s="1"/>
  <c r="AN104" i="4"/>
  <c r="S67" i="13" s="1" a="1"/>
  <c r="S67" i="13" s="1"/>
  <c r="AN83" i="4"/>
  <c r="S83" i="13" s="1" a="1"/>
  <c r="S83" i="13" s="1"/>
  <c r="AN82" i="4"/>
  <c r="S82" i="13" s="1" a="1"/>
  <c r="S82" i="13" s="1"/>
  <c r="AN91" i="4"/>
  <c r="S91" i="13" s="1" a="1"/>
  <c r="S91" i="13" s="1"/>
  <c r="AN125" i="4"/>
  <c r="S53" i="13" s="1" a="1"/>
  <c r="S53" i="13" s="1"/>
  <c r="AN77" i="4"/>
  <c r="S77" i="13" s="1" a="1"/>
  <c r="S77" i="13" s="1"/>
  <c r="AN126" i="4"/>
  <c r="S54" i="13" s="1" a="1"/>
  <c r="S54" i="13" s="1"/>
  <c r="AN76" i="4"/>
  <c r="S76" i="13" s="1" a="1"/>
  <c r="S76" i="13" s="1"/>
  <c r="AN129" i="4"/>
  <c r="S56" i="13" s="1" a="1"/>
  <c r="S56" i="13" s="1"/>
  <c r="AN63" i="4"/>
  <c r="S43" i="13" s="1" a="1"/>
  <c r="S43" i="13" s="1"/>
  <c r="AN86" i="4"/>
  <c r="S86" i="13" s="1" a="1"/>
  <c r="S86" i="13" s="1"/>
  <c r="AN107" i="4"/>
  <c r="S70" i="13" s="1" a="1"/>
  <c r="S70" i="13" s="1"/>
  <c r="AN62" i="4"/>
  <c r="S42" i="13" s="1" a="1"/>
  <c r="S42" i="13" s="1"/>
  <c r="AN123" i="4"/>
  <c r="S36" i="13" s="1" a="1"/>
  <c r="S36" i="13" s="1"/>
  <c r="AN93" i="4"/>
  <c r="S93" i="13" s="1" a="1"/>
  <c r="S93" i="13" s="1"/>
  <c r="AN128" i="4"/>
  <c r="S57" i="13" s="1" a="1"/>
  <c r="S57" i="13" s="1"/>
  <c r="AN95" i="4"/>
  <c r="S95" i="13" s="1" a="1"/>
  <c r="S95" i="13" s="1"/>
  <c r="AN113" i="4"/>
  <c r="S50" i="13" s="1" a="1"/>
  <c r="S50" i="13" s="1"/>
  <c r="AN115" i="4"/>
  <c r="S20" i="13" s="1" a="1"/>
  <c r="S20" i="13" s="1"/>
  <c r="AN66" i="4"/>
  <c r="S30" i="13" s="1" a="1"/>
  <c r="S30" i="13" s="1"/>
  <c r="AN105" i="4"/>
  <c r="S68" i="13" s="1" a="1"/>
  <c r="S68" i="13" s="1"/>
  <c r="AN110" i="4"/>
  <c r="S46" i="13" s="1" a="1"/>
  <c r="S46" i="13" s="1"/>
  <c r="AN116" i="4"/>
  <c r="S18" i="13" s="1" a="1"/>
  <c r="S18" i="13" s="1"/>
  <c r="AN61" i="4"/>
  <c r="S41" i="13" s="1" a="1"/>
  <c r="S41" i="13" s="1"/>
  <c r="AN59" i="4"/>
  <c r="S39" i="13" s="1" a="1"/>
  <c r="S39" i="13" s="1"/>
  <c r="AN65" i="4"/>
  <c r="S27" i="13" s="1" a="1"/>
  <c r="S27" i="13" s="1"/>
  <c r="AN73" i="4"/>
  <c r="S73" i="13" s="1" a="1"/>
  <c r="S73" i="13" s="1"/>
  <c r="AN114" i="4"/>
  <c r="S51" i="13" s="1" a="1"/>
  <c r="S51" i="13" s="1"/>
  <c r="AN119" i="4"/>
  <c r="S22" i="13" s="1" a="1"/>
  <c r="S22" i="13" s="1"/>
  <c r="AN117" i="4"/>
  <c r="S21" i="13" s="1" a="1"/>
  <c r="S21" i="13" s="1"/>
  <c r="AN111" i="4"/>
  <c r="S48" i="13" s="1" a="1"/>
  <c r="S48" i="13" s="1"/>
  <c r="AN112" i="4"/>
  <c r="S49" i="13" s="1" a="1"/>
  <c r="S49" i="13" s="1"/>
  <c r="AN124" i="4"/>
  <c r="S37" i="13" s="1" a="1"/>
  <c r="S37" i="13" s="1"/>
  <c r="AN122" i="4"/>
  <c r="S25" i="13" s="1" a="1"/>
  <c r="S25" i="13" s="1"/>
  <c r="AN68" i="4"/>
  <c r="S34" i="13" s="1" a="1"/>
  <c r="S34" i="13" s="1"/>
  <c r="AN71" i="4"/>
  <c r="S33" i="13" s="1" a="1"/>
  <c r="S33" i="13" s="1"/>
  <c r="AN120" i="4"/>
  <c r="S23" i="13" s="1" a="1"/>
  <c r="S23" i="13" s="1"/>
  <c r="AN69" i="4"/>
  <c r="S31" i="13" s="1" a="1"/>
  <c r="S31" i="13" s="1"/>
  <c r="AN64" i="4"/>
  <c r="S29" i="13" s="1" a="1"/>
  <c r="S29" i="13" s="1"/>
  <c r="AN70" i="4"/>
  <c r="S32" i="13" s="1" a="1"/>
  <c r="S32" i="13" s="1"/>
  <c r="AN67" i="4"/>
  <c r="S28" i="13" s="1" a="1"/>
  <c r="S28" i="13" s="1"/>
  <c r="AN118" i="4"/>
  <c r="S19" i="13" s="1" a="1"/>
  <c r="S19" i="13" s="1"/>
  <c r="AN60" i="4"/>
  <c r="S40" i="13" s="1" a="1"/>
  <c r="S40" i="13" s="1"/>
  <c r="AN121" i="4"/>
  <c r="S24" i="13" s="1" a="1"/>
  <c r="S24" i="13" s="1"/>
  <c r="AH18" i="8"/>
  <c r="AH38" i="7" a="1"/>
  <c r="AH38" i="7" s="1"/>
  <c r="AG36" i="7" a="1"/>
  <c r="AG36" i="7" s="1"/>
  <c r="AG34" i="7" a="1"/>
  <c r="AG34" i="7" s="1"/>
  <c r="AG48" i="7" a="1"/>
  <c r="AG48" i="7" s="1"/>
  <c r="AJ95" i="7"/>
  <c r="AF95" i="7" a="1"/>
  <c r="AF95" i="7" s="1"/>
  <c r="AG54" i="7" a="1"/>
  <c r="AG54" i="7" s="1"/>
  <c r="AJ96" i="7"/>
  <c r="AF96" i="7" a="1"/>
  <c r="AF96" i="7" s="1"/>
  <c r="AF76" i="7" a="1"/>
  <c r="AF76" i="7" s="1"/>
  <c r="AJ76" i="7"/>
  <c r="AF110" i="7" a="1"/>
  <c r="AF110" i="7" s="1"/>
  <c r="AJ110" i="7"/>
  <c r="AF89" i="7" a="1"/>
  <c r="AF89" i="7" s="1"/>
  <c r="AJ89" i="7"/>
  <c r="AO52" i="8" a="1"/>
  <c r="AO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P27" i="8" a="1"/>
  <c r="AP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BA104" i="8" a="1"/>
  <c r="AV53" i="7" a="1"/>
  <c r="BA59" i="8" a="1"/>
  <c r="AZ103" i="8" a="1"/>
  <c r="AT59" i="7" a="1"/>
  <c r="AU46" i="7" a="1"/>
  <c r="AT90" i="20" a="1"/>
  <c r="AZ86" i="8" a="1"/>
  <c r="AT60" i="20" a="1"/>
  <c r="AT85" i="20" a="1"/>
  <c r="AT35" i="20" a="1"/>
  <c r="AZ43" i="8" a="1"/>
  <c r="AT44" i="20" a="1"/>
  <c r="AS86" i="7" a="1"/>
  <c r="AZ45" i="8" a="1"/>
  <c r="AZ106" i="8" a="1"/>
  <c r="AZ68" i="8" a="1"/>
  <c r="AS108" i="7" a="1"/>
  <c r="AZ93" i="8" a="1"/>
  <c r="AZ41" i="8" a="1"/>
  <c r="AT80" i="20" a="1"/>
  <c r="AT50" i="20" a="1"/>
  <c r="BA36" i="8" a="1"/>
  <c r="AT106" i="20" a="1"/>
  <c r="AS68" i="7" a="1"/>
  <c r="BB52" i="8" a="1"/>
  <c r="BB22" i="8" a="1"/>
  <c r="AT62" i="7" a="1"/>
  <c r="AT76" i="20" a="1"/>
  <c r="BA96" i="8" a="1"/>
  <c r="BA62" i="8" a="1"/>
  <c r="BA23" i="8" a="1"/>
  <c r="AZ32" i="8" a="1"/>
  <c r="AT58" i="20" a="1"/>
  <c r="AZ67" i="8" a="1"/>
  <c r="AS65" i="7" a="1"/>
  <c r="AT103" i="20" a="1"/>
  <c r="AZ81" i="8" a="1"/>
  <c r="AS100" i="7" a="1"/>
  <c r="AT54" i="20" a="1"/>
  <c r="AT36" i="7" a="1"/>
  <c r="AS97" i="7" a="1"/>
  <c r="BA88" i="8" a="1"/>
  <c r="AT48" i="20" a="1"/>
  <c r="AT45" i="7" a="1"/>
  <c r="AZ105" i="8" a="1"/>
  <c r="AT50" i="7" a="1"/>
  <c r="AS99" i="7" a="1"/>
  <c r="AZ44" i="8" a="1"/>
  <c r="BA95" i="8" a="1"/>
  <c r="AZ76" i="8" a="1"/>
  <c r="AU60" i="7" a="1"/>
  <c r="AS103" i="7" a="1"/>
  <c r="AZ79" i="8" a="1"/>
  <c r="AT56" i="20" a="1"/>
  <c r="AT37" i="20" a="1"/>
  <c r="AT55" i="7" a="1"/>
  <c r="AS73" i="7" a="1"/>
  <c r="AZ65" i="8" a="1"/>
  <c r="BA60" i="8" a="1"/>
  <c r="AT75" i="20" a="1"/>
  <c r="BA46" i="8" a="1"/>
  <c r="AS79" i="7" a="1"/>
  <c r="BA92" i="8" a="1"/>
  <c r="AZ69" i="8" a="1"/>
  <c r="AS104" i="7" a="1"/>
  <c r="AZ48" i="8" a="1"/>
  <c r="AT39" i="7" a="1"/>
  <c r="AS75" i="7" a="1"/>
  <c r="AT49" i="20" a="1"/>
  <c r="AT55" i="20" a="1"/>
  <c r="AZ85" i="8" a="1"/>
  <c r="AT41" i="20" a="1"/>
  <c r="AS90" i="7" a="1"/>
  <c r="AT38" i="20" a="1"/>
  <c r="AS67" i="7" a="1"/>
  <c r="BA100" i="8" a="1"/>
  <c r="AZ84" i="8" a="1"/>
  <c r="AT110" i="20" a="1"/>
  <c r="AS106" i="7" a="1"/>
  <c r="AS85" i="7" a="1"/>
  <c r="AZ102" i="8" a="1"/>
  <c r="BA56" i="8" a="1"/>
  <c r="AT33" i="20" a="1"/>
  <c r="AZ35" i="8" a="1"/>
  <c r="AT31" i="7" a="1"/>
  <c r="AT48" i="7" a="1"/>
  <c r="AS74" i="7" a="1"/>
  <c r="AT74" i="20" a="1"/>
  <c r="AV58" i="7" a="1"/>
  <c r="AT37" i="7" a="1"/>
  <c r="AT23" i="20" a="1"/>
  <c r="BA99" i="8" a="1"/>
  <c r="BA61" i="8" a="1"/>
  <c r="AS109" i="7" a="1"/>
  <c r="AT25" i="20" a="1"/>
  <c r="BA107" i="8" a="1"/>
  <c r="BA47" i="8" a="1"/>
  <c r="AT89" i="20" a="1"/>
  <c r="AT56" i="7" a="1"/>
  <c r="AT27" i="7" a="1"/>
  <c r="BA64" i="8" a="1"/>
  <c r="AZ70" i="8" a="1"/>
  <c r="BA42" i="8" a="1"/>
  <c r="AT102" i="20" a="1"/>
  <c r="AT44" i="7" a="1"/>
  <c r="AT65" i="20" a="1"/>
  <c r="AS84" i="7" a="1"/>
  <c r="AZ38" i="8" a="1"/>
  <c r="AZ50" i="8" a="1"/>
  <c r="AS72" i="7" a="1"/>
  <c r="BA54" i="8" a="1"/>
  <c r="AS77" i="7" a="1"/>
  <c r="BA31" i="8" a="1"/>
  <c r="AT21" i="20" a="1"/>
  <c r="AZ90" i="8" a="1"/>
  <c r="BA53" i="8" a="1"/>
  <c r="AV63" i="7" a="1"/>
  <c r="AS105" i="7" a="1"/>
  <c r="AZ37" i="8" a="1"/>
  <c r="AT81" i="20" a="1"/>
  <c r="AS93" i="7" a="1"/>
  <c r="AS89" i="7" a="1"/>
  <c r="AT97" i="20" a="1"/>
  <c r="AZ75" i="8" a="1"/>
  <c r="AS70" i="7" a="1"/>
  <c r="AS76" i="7" a="1"/>
  <c r="AT93" i="20" a="1"/>
  <c r="AT69" i="20" a="1"/>
  <c r="AT101" i="20" a="1"/>
  <c r="AT61" i="20" a="1"/>
  <c r="AZ98" i="8" a="1"/>
  <c r="BA20" i="8" a="1"/>
  <c r="AZ33" i="8" a="1"/>
  <c r="AT98" i="20" a="1"/>
  <c r="BA55" i="8" a="1"/>
  <c r="AT68" i="20" a="1"/>
  <c r="AU42" i="7" a="1"/>
  <c r="AT45" i="20" a="1"/>
  <c r="BB20" i="8" a="1"/>
  <c r="BA26" i="8" a="1"/>
  <c r="AS80" i="7" a="1"/>
  <c r="AS87" i="7" a="1"/>
  <c r="AT26" i="20" a="1"/>
  <c r="AZ97" i="8" a="1"/>
  <c r="BA63" i="8" a="1"/>
  <c r="BA72" i="8" a="1"/>
  <c r="AU43" i="7" a="1"/>
  <c r="AS78" i="7" a="1"/>
  <c r="AS91" i="7" a="1"/>
  <c r="AS88" i="7" a="1"/>
  <c r="AT35" i="7" a="1"/>
  <c r="AU57" i="7" a="1"/>
  <c r="AT86" i="20" a="1"/>
  <c r="AS98" i="7" a="1"/>
  <c r="AZ101" i="8" a="1"/>
  <c r="AT79" i="20" a="1"/>
  <c r="AT94" i="20" a="1"/>
  <c r="AS69" i="7" a="1"/>
  <c r="AZ109" i="8" a="1"/>
  <c r="AT32" i="20" a="1"/>
  <c r="AZ74" i="8" a="1"/>
  <c r="BA57" i="8" a="1"/>
  <c r="AZ89" i="8" a="1"/>
  <c r="AS83" i="7" a="1"/>
  <c r="AT34" i="7" a="1"/>
  <c r="AS96" i="7" a="1"/>
  <c r="BA51" i="8" a="1"/>
  <c r="AS107" i="7" a="1"/>
  <c r="AS82" i="7" a="1"/>
  <c r="AT67" i="20" a="1"/>
  <c r="AU33" i="7" a="1"/>
  <c r="AT59" i="20" a="1"/>
  <c r="AT53" i="20" a="1"/>
  <c r="AS95" i="7" a="1"/>
  <c r="AT47" i="7" a="1"/>
  <c r="AZ94" i="8" a="1"/>
  <c r="AT105" i="20" a="1"/>
  <c r="AU49" i="7" a="1"/>
  <c r="AS94" i="7" a="1"/>
  <c r="AZ110" i="8" a="1"/>
  <c r="AT70" i="20" a="1"/>
  <c r="AS71" i="7" a="1"/>
  <c r="AT43" i="20" a="1"/>
  <c r="AS110" i="7" a="1"/>
  <c r="BD22" i="8" a="1"/>
  <c r="AT32" i="7" a="1"/>
  <c r="AU51" i="7" a="1"/>
  <c r="AU61" i="7" a="1"/>
  <c r="AU38" i="7" a="1"/>
  <c r="BC27" i="8" a="1"/>
  <c r="AT54" i="7" a="1"/>
  <c r="BA21" i="8" a="1"/>
  <c r="AS81" i="7" a="1"/>
  <c r="AT24" i="20" a="1"/>
  <c r="AS66" i="7" a="1"/>
  <c r="AT41" i="7" a="1"/>
  <c r="AS64" i="7" a="1"/>
  <c r="AZ49" i="8" a="1"/>
  <c r="AS102" i="7" a="1"/>
  <c r="AS101" i="7" a="1"/>
  <c r="AZ80" i="8" a="1"/>
  <c r="AS92" i="7" a="1"/>
  <c r="AT109" i="20" a="1"/>
  <c r="AT52" i="7" a="1"/>
  <c r="AT62" i="20" a="1"/>
  <c r="AT84" i="20" a="1"/>
  <c r="AU40" i="7" a="1"/>
  <c r="BA34" i="8" a="1"/>
  <c r="W72" i="4" l="1"/>
  <c r="X72" i="4" s="1"/>
  <c r="X73" i="4" s="1"/>
  <c r="BA20" i="8"/>
  <c r="AT23" i="20"/>
  <c r="AT33" i="20"/>
  <c r="AT44" i="20"/>
  <c r="AT54" i="20"/>
  <c r="AT61" i="20"/>
  <c r="AT70" i="20"/>
  <c r="AT81" i="20"/>
  <c r="AT93" i="20"/>
  <c r="AT105" i="20"/>
  <c r="AT24" i="20"/>
  <c r="AT35" i="20"/>
  <c r="AT45" i="20"/>
  <c r="AT55" i="20"/>
  <c r="AT62" i="20"/>
  <c r="AT74" i="20"/>
  <c r="AT84" i="20"/>
  <c r="AT94" i="20"/>
  <c r="AT106" i="20"/>
  <c r="AT25" i="20"/>
  <c r="AT37" i="20"/>
  <c r="AT48" i="20"/>
  <c r="AT56" i="20"/>
  <c r="AT65" i="20"/>
  <c r="AT75" i="20"/>
  <c r="AT85" i="20"/>
  <c r="AT97" i="20"/>
  <c r="AT109" i="20"/>
  <c r="AT26" i="20"/>
  <c r="AT38" i="20"/>
  <c r="AT49" i="20"/>
  <c r="AT58" i="20"/>
  <c r="AT67" i="20"/>
  <c r="AT76" i="20"/>
  <c r="AT86" i="20"/>
  <c r="AT98" i="20"/>
  <c r="AT110" i="20"/>
  <c r="AT103" i="20"/>
  <c r="AT41" i="20"/>
  <c r="AT50" i="20"/>
  <c r="AT59" i="20"/>
  <c r="AT68" i="20"/>
  <c r="AT79" i="20"/>
  <c r="AT89" i="20"/>
  <c r="AT101" i="20"/>
  <c r="AT21" i="20"/>
  <c r="AT32" i="20"/>
  <c r="AT43" i="20"/>
  <c r="AT53" i="20"/>
  <c r="AT60" i="20"/>
  <c r="AT69" i="20"/>
  <c r="AT80" i="20"/>
  <c r="AT90" i="20"/>
  <c r="AT102" i="20"/>
  <c r="AH21" i="20" a="1"/>
  <c r="AH21" i="20" s="1"/>
  <c r="AH23" i="20" a="1"/>
  <c r="AH23" i="20" s="1"/>
  <c r="AH24" i="20" a="1"/>
  <c r="AH24" i="20" s="1"/>
  <c r="AH25" i="20" a="1"/>
  <c r="AH25" i="20" s="1"/>
  <c r="AH26" i="20" a="1"/>
  <c r="AH26" i="20" s="1"/>
  <c r="AH103" i="20" a="1"/>
  <c r="AH103" i="20" s="1"/>
  <c r="AH32" i="20" a="1"/>
  <c r="AH32" i="20" s="1"/>
  <c r="AH33" i="20" a="1"/>
  <c r="AH33" i="20" s="1"/>
  <c r="AH35" i="20" a="1"/>
  <c r="AH35" i="20" s="1"/>
  <c r="AH37" i="20" a="1"/>
  <c r="AH37" i="20" s="1"/>
  <c r="AH38" i="20" a="1"/>
  <c r="AH38" i="20" s="1"/>
  <c r="AH41" i="20" a="1"/>
  <c r="AH41" i="20" s="1"/>
  <c r="AH43" i="20" a="1"/>
  <c r="AH43" i="20" s="1"/>
  <c r="AH44" i="20" a="1"/>
  <c r="AH44" i="20" s="1"/>
  <c r="AH45" i="20" a="1"/>
  <c r="AH45" i="20" s="1"/>
  <c r="AH48" i="20" a="1"/>
  <c r="AH48" i="20" s="1"/>
  <c r="AH49" i="20" a="1"/>
  <c r="AH49" i="20" s="1"/>
  <c r="AH50" i="20" a="1"/>
  <c r="AH50" i="20" s="1"/>
  <c r="AH53" i="20" a="1"/>
  <c r="AH53" i="20" s="1"/>
  <c r="AH54" i="20" a="1"/>
  <c r="AH54" i="20" s="1"/>
  <c r="AH55" i="20" a="1"/>
  <c r="AH55" i="20" s="1"/>
  <c r="AH56" i="20" a="1"/>
  <c r="AH56" i="20" s="1"/>
  <c r="AH58" i="20" a="1"/>
  <c r="AH58" i="20" s="1"/>
  <c r="AH59" i="20" a="1"/>
  <c r="AH59" i="20" s="1"/>
  <c r="AH60" i="20" a="1"/>
  <c r="AH60" i="20" s="1"/>
  <c r="AH61" i="20" a="1"/>
  <c r="AH61" i="20" s="1"/>
  <c r="AH62" i="20" a="1"/>
  <c r="AH62" i="20" s="1"/>
  <c r="AH65" i="20" a="1"/>
  <c r="AH65" i="20" s="1"/>
  <c r="AH67" i="20" a="1"/>
  <c r="AH67" i="20" s="1"/>
  <c r="AH68" i="20" a="1"/>
  <c r="AH68" i="20" s="1"/>
  <c r="AH69" i="20" a="1"/>
  <c r="AH69" i="20" s="1"/>
  <c r="AH70" i="20" a="1"/>
  <c r="AH70" i="20" s="1"/>
  <c r="AH74" i="20" a="1"/>
  <c r="AH74" i="20" s="1"/>
  <c r="AH75" i="20" a="1"/>
  <c r="AH75" i="20" s="1"/>
  <c r="AH76" i="20" a="1"/>
  <c r="AH76" i="20" s="1"/>
  <c r="AH79" i="20" a="1"/>
  <c r="AH79" i="20" s="1"/>
  <c r="AH80" i="20" a="1"/>
  <c r="AH80" i="20" s="1"/>
  <c r="AH81" i="20" a="1"/>
  <c r="AH81" i="20" s="1"/>
  <c r="AH84" i="20" a="1"/>
  <c r="AH84" i="20" s="1"/>
  <c r="AH85" i="20" a="1"/>
  <c r="AH85" i="20" s="1"/>
  <c r="AH86" i="20" a="1"/>
  <c r="AH86" i="20" s="1"/>
  <c r="AH89" i="20" a="1"/>
  <c r="AH89" i="20" s="1"/>
  <c r="AH90" i="20" a="1"/>
  <c r="AH90" i="20" s="1"/>
  <c r="AH93" i="20" a="1"/>
  <c r="AH93" i="20" s="1"/>
  <c r="AH94" i="20" a="1"/>
  <c r="AH94" i="20" s="1"/>
  <c r="AH97" i="20" a="1"/>
  <c r="AH97" i="20" s="1"/>
  <c r="AH98" i="20" a="1"/>
  <c r="AH98" i="20" s="1"/>
  <c r="AH101" i="20" a="1"/>
  <c r="AH101" i="20" s="1"/>
  <c r="AH102" i="20" a="1"/>
  <c r="AH102" i="20" s="1"/>
  <c r="AH105" i="20" a="1"/>
  <c r="AH105" i="20" s="1"/>
  <c r="AH106" i="20" a="1"/>
  <c r="AH106" i="20" s="1"/>
  <c r="AH109" i="20" a="1"/>
  <c r="AH109" i="20" s="1"/>
  <c r="AH110" i="20" a="1"/>
  <c r="AH110" i="20" s="1"/>
  <c r="BB22" i="8"/>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R73" i="8"/>
  <c r="P41" i="10"/>
  <c r="AR47" i="8"/>
  <c r="AB123" i="4"/>
  <c r="E36" i="13" s="1" a="1"/>
  <c r="E36" i="13" s="1"/>
  <c r="AR61" i="8"/>
  <c r="AB129" i="4"/>
  <c r="E56" i="13" s="1" a="1"/>
  <c r="E56" i="13" s="1"/>
  <c r="AR78" i="8"/>
  <c r="AR42" i="8"/>
  <c r="AB109" i="4"/>
  <c r="E45" i="13" s="1" a="1"/>
  <c r="E45" i="13" s="1"/>
  <c r="AB108" i="4"/>
  <c r="E47" i="13" s="1" a="1"/>
  <c r="E47" i="13" s="1"/>
  <c r="AR62" i="8"/>
  <c r="AB126" i="4"/>
  <c r="E54" i="13" s="1" a="1"/>
  <c r="E54" i="13" s="1"/>
  <c r="AR59" i="8"/>
  <c r="AB128" i="4"/>
  <c r="E57" i="13" s="1" a="1"/>
  <c r="E57" i="13" s="1"/>
  <c r="AR34" i="8"/>
  <c r="AB116" i="4"/>
  <c r="E18" i="13" s="1" a="1"/>
  <c r="E18" i="13" s="1"/>
  <c r="AR64" i="8"/>
  <c r="AB104" i="4"/>
  <c r="E67" i="13" s="1" a="1"/>
  <c r="E67" i="13" s="1"/>
  <c r="AR36" i="8"/>
  <c r="AB122" i="4"/>
  <c r="E25" i="13" s="1" a="1"/>
  <c r="E25" i="13" s="1"/>
  <c r="AN109" i="4"/>
  <c r="S45" i="13" s="1" a="1"/>
  <c r="S45" i="13" s="1"/>
  <c r="AN108" i="4"/>
  <c r="S47" i="13" s="1" a="1"/>
  <c r="S47" i="13" s="1"/>
  <c r="L110" i="4"/>
  <c r="Q110" i="4" s="1"/>
  <c r="P110" i="4"/>
  <c r="N121" i="4"/>
  <c r="J121" i="4"/>
  <c r="AR23" i="8"/>
  <c r="AN28" i="8" a="1"/>
  <c r="AN28" i="8" s="1"/>
  <c r="AB71" i="4"/>
  <c r="E33" i="13" s="1" a="1"/>
  <c r="E33" i="13" s="1"/>
  <c r="W73" i="4"/>
  <c r="AR100" i="8"/>
  <c r="AB79" i="4"/>
  <c r="E79" i="13" s="1" a="1"/>
  <c r="E79" i="13" s="1"/>
  <c r="AR83" i="8"/>
  <c r="AR88" i="8"/>
  <c r="AB76" i="4"/>
  <c r="E76" i="13" s="1" a="1"/>
  <c r="E76" i="13" s="1"/>
  <c r="AR104" i="8"/>
  <c r="AB80" i="4"/>
  <c r="E80" i="13" s="1" a="1"/>
  <c r="E80" i="13" s="1"/>
  <c r="AR92" i="8"/>
  <c r="AB77" i="4"/>
  <c r="E77" i="13" s="1" a="1"/>
  <c r="E77" i="13" s="1"/>
  <c r="AR96" i="8"/>
  <c r="AB78" i="4"/>
  <c r="E78" i="13" s="1" a="1"/>
  <c r="E78" i="13" s="1"/>
  <c r="BD22" i="8"/>
  <c r="E88" i="9"/>
  <c r="AE65" i="4"/>
  <c r="H27" i="13" s="1" a="1"/>
  <c r="H27" i="13" s="1"/>
  <c r="AS22" i="8"/>
  <c r="AR24" i="8"/>
  <c r="AN29" i="8" a="1"/>
  <c r="AN29" i="8" s="1"/>
  <c r="AB70" i="4"/>
  <c r="E32" i="13" s="1" a="1"/>
  <c r="E32" i="13" s="1"/>
  <c r="AR55" i="8"/>
  <c r="AB61" i="4"/>
  <c r="E41" i="13" s="1" a="1"/>
  <c r="E41" i="13" s="1"/>
  <c r="AR56" i="8"/>
  <c r="AB60" i="4"/>
  <c r="E40" i="13" s="1" a="1"/>
  <c r="E40" i="13" s="1"/>
  <c r="AR53" i="8"/>
  <c r="AB62" i="4"/>
  <c r="E42" i="13" s="1" a="1"/>
  <c r="E42" i="13" s="1"/>
  <c r="AZ45" i="8"/>
  <c r="BA47" i="8"/>
  <c r="AZ35" i="8"/>
  <c r="AZ90" i="8"/>
  <c r="BA63" i="8"/>
  <c r="AZ110" i="8"/>
  <c r="AZ41" i="8"/>
  <c r="BA107" i="8"/>
  <c r="AZ97" i="8"/>
  <c r="AZ50" i="8"/>
  <c r="AZ38" i="8"/>
  <c r="BA62" i="8"/>
  <c r="AZ86" i="8"/>
  <c r="BA96" i="8"/>
  <c r="AZ49" i="8"/>
  <c r="AZ33" i="8"/>
  <c r="BA53" i="8"/>
  <c r="BA56" i="8"/>
  <c r="AZ80" i="8"/>
  <c r="AZ85" i="8"/>
  <c r="AZ48" i="8"/>
  <c r="BA34" i="8"/>
  <c r="AZ79" i="8"/>
  <c r="BA72" i="8"/>
  <c r="BA23" i="8"/>
  <c r="AZ67" i="8"/>
  <c r="BA92" i="8"/>
  <c r="BA21" i="8"/>
  <c r="AZ76" i="8"/>
  <c r="AZ84" i="8"/>
  <c r="BA54" i="8"/>
  <c r="AZ68" i="8"/>
  <c r="AZ94" i="8"/>
  <c r="AZ81" i="8"/>
  <c r="AZ74" i="8"/>
  <c r="BA60" i="8"/>
  <c r="BA55" i="8"/>
  <c r="AZ70" i="8"/>
  <c r="AZ93" i="8"/>
  <c r="AZ105" i="8"/>
  <c r="BA26" i="8"/>
  <c r="AZ75" i="8"/>
  <c r="AZ102" i="8"/>
  <c r="BA95" i="8"/>
  <c r="AZ65" i="8"/>
  <c r="BA104" i="8"/>
  <c r="BA51" i="8"/>
  <c r="BA42" i="8"/>
  <c r="BA61" i="8"/>
  <c r="AZ103" i="8"/>
  <c r="BA64" i="8"/>
  <c r="BA57" i="8"/>
  <c r="AZ106" i="8"/>
  <c r="BB20" i="8"/>
  <c r="BA100" i="8"/>
  <c r="BA31" i="8"/>
  <c r="AZ69" i="8"/>
  <c r="BA46" i="8"/>
  <c r="BA36" i="8"/>
  <c r="AZ44" i="8"/>
  <c r="BA99" i="8"/>
  <c r="AZ101" i="8"/>
  <c r="AZ32" i="8"/>
  <c r="BA88" i="8"/>
  <c r="AZ109" i="8"/>
  <c r="AZ43" i="8"/>
  <c r="AZ98" i="8"/>
  <c r="AZ37" i="8"/>
  <c r="AZ89" i="8"/>
  <c r="BA59" i="8"/>
  <c r="AM45" i="8" a="1"/>
  <c r="AM45" i="8" s="1"/>
  <c r="AN47" i="8" a="1"/>
  <c r="AN47" i="8" s="1"/>
  <c r="AC123" i="4" s="1"/>
  <c r="F36" i="13" s="1" a="1"/>
  <c r="F36" i="13" s="1"/>
  <c r="AM35" i="8" a="1"/>
  <c r="AM35" i="8" s="1"/>
  <c r="AR28" i="8"/>
  <c r="AN87" i="8" a="1"/>
  <c r="AN87" i="8" s="1"/>
  <c r="AM90" i="8" a="1"/>
  <c r="AM90" i="8" s="1"/>
  <c r="AB85" i="4" s="1"/>
  <c r="E85" i="13" s="1" a="1"/>
  <c r="E85" i="13" s="1"/>
  <c r="AN63" i="8" a="1"/>
  <c r="AN63" i="8" s="1"/>
  <c r="AN73" i="8" a="1"/>
  <c r="AN73" i="8" s="1"/>
  <c r="AC73" i="4" s="1"/>
  <c r="AM110" i="8" a="1"/>
  <c r="AM110" i="8" s="1"/>
  <c r="AM41" i="8" a="1"/>
  <c r="AM41" i="8" s="1"/>
  <c r="AN107" i="8" a="1"/>
  <c r="AN107" i="8" s="1"/>
  <c r="AM97" i="8" a="1"/>
  <c r="AM97" i="8" s="1"/>
  <c r="AM50" i="8" a="1"/>
  <c r="AM50" i="8" s="1"/>
  <c r="AR50" i="8" s="1"/>
  <c r="AM38" i="8" a="1"/>
  <c r="AM38" i="8" s="1"/>
  <c r="AN62" i="8" a="1"/>
  <c r="AN62" i="8" s="1"/>
  <c r="AC126" i="4" s="1"/>
  <c r="F54" i="13" s="1" a="1"/>
  <c r="F54" i="13" s="1"/>
  <c r="AN108" i="8" a="1"/>
  <c r="AN108" i="8" s="1"/>
  <c r="AC81" i="4" s="1"/>
  <c r="F81" i="13" s="1" a="1"/>
  <c r="F81" i="13" s="1"/>
  <c r="AR40" i="8"/>
  <c r="AN40" i="8" a="1"/>
  <c r="AN40" i="8" s="1"/>
  <c r="AC110" i="4" s="1"/>
  <c r="F46" i="13" s="1" a="1"/>
  <c r="F46" i="13" s="1"/>
  <c r="AM86" i="8" a="1"/>
  <c r="AM86" i="8" s="1"/>
  <c r="AN96" i="8" a="1"/>
  <c r="AN96" i="8" s="1"/>
  <c r="AC78" i="4" s="1"/>
  <c r="F78" i="13" s="1" a="1"/>
  <c r="F78" i="13" s="1"/>
  <c r="AM49" i="8" a="1"/>
  <c r="AM49" i="8" s="1"/>
  <c r="AM33" i="8" a="1"/>
  <c r="AM33" i="8" s="1"/>
  <c r="AB121" i="4" s="1"/>
  <c r="E24" i="13" s="1" a="1"/>
  <c r="E24" i="13" s="1"/>
  <c r="AN53" i="8" a="1"/>
  <c r="AN53" i="8" s="1"/>
  <c r="AC62" i="4" s="1"/>
  <c r="F42" i="13" s="1" a="1"/>
  <c r="F42" i="13" s="1"/>
  <c r="AN56" i="8" a="1"/>
  <c r="AN56" i="8" s="1"/>
  <c r="AC60" i="4" s="1"/>
  <c r="F40" i="13" s="1" a="1"/>
  <c r="F40" i="13" s="1"/>
  <c r="AM80" i="8" a="1"/>
  <c r="AM80" i="8" s="1"/>
  <c r="AN66" i="8" a="1"/>
  <c r="AN66" i="8" s="1"/>
  <c r="AC102" i="4" s="1"/>
  <c r="F65" i="13" s="1" a="1"/>
  <c r="F65" i="13" s="1"/>
  <c r="AM85" i="8" a="1"/>
  <c r="AM85" i="8" s="1"/>
  <c r="AM48" i="8" a="1"/>
  <c r="AM48" i="8" s="1"/>
  <c r="AR48" i="8" s="1"/>
  <c r="AN30" i="8" a="1"/>
  <c r="AN30" i="8" s="1"/>
  <c r="AO30" i="8" s="1" a="1"/>
  <c r="AO30" i="8" s="1"/>
  <c r="AP30" i="8" s="1" a="1"/>
  <c r="AP30" i="8" s="1"/>
  <c r="AS30" i="8" s="1"/>
  <c r="AN34" i="8" a="1"/>
  <c r="AN34" i="8" s="1"/>
  <c r="AC116" i="4" s="1"/>
  <c r="F18" i="13" s="1" a="1"/>
  <c r="F18" i="13" s="1"/>
  <c r="AM79" i="8" a="1"/>
  <c r="AM79" i="8" s="1"/>
  <c r="AR72" i="8"/>
  <c r="AN72" i="8" a="1"/>
  <c r="AN72" i="8" s="1"/>
  <c r="AC72" i="4" s="1"/>
  <c r="F72" i="13" s="1" a="1"/>
  <c r="F72" i="13" s="1"/>
  <c r="F73" i="13" s="1"/>
  <c r="AR66" i="8"/>
  <c r="AN83" i="8" a="1"/>
  <c r="AN83" i="8" s="1"/>
  <c r="AC75" i="4" s="1"/>
  <c r="F75" i="13" s="1" a="1"/>
  <c r="F75" i="13" s="1"/>
  <c r="AN23" i="8" a="1"/>
  <c r="AN23" i="8" s="1"/>
  <c r="AC66" i="4" s="1"/>
  <c r="F30" i="13" s="1" a="1"/>
  <c r="F30" i="13" s="1"/>
  <c r="AN25" i="8" a="1"/>
  <c r="AN25" i="8" s="1"/>
  <c r="AM67" i="8" a="1"/>
  <c r="AM67" i="8" s="1"/>
  <c r="AB103" i="4" s="1"/>
  <c r="E66" i="13" s="1" a="1"/>
  <c r="E66" i="13" s="1"/>
  <c r="AR30" i="8"/>
  <c r="AN92" i="8" a="1"/>
  <c r="AN92" i="8" s="1"/>
  <c r="AC77" i="4" s="1"/>
  <c r="F77" i="13" s="1" a="1"/>
  <c r="F77" i="13" s="1"/>
  <c r="AN21" i="8" a="1"/>
  <c r="AN21" i="8" s="1"/>
  <c r="AC68" i="4" s="1"/>
  <c r="F34" i="13" s="1" a="1"/>
  <c r="F34" i="13" s="1"/>
  <c r="AR21" i="8"/>
  <c r="AN78" i="8" a="1"/>
  <c r="AN78" i="8" s="1"/>
  <c r="AC74" i="4" s="1"/>
  <c r="F74" i="13" s="1" a="1"/>
  <c r="F74" i="13" s="1"/>
  <c r="AM76" i="8" a="1"/>
  <c r="AM76" i="8" s="1"/>
  <c r="AB82" i="4" s="1"/>
  <c r="E82" i="13" s="1" a="1"/>
  <c r="E82" i="13" s="1"/>
  <c r="AM84" i="8" a="1"/>
  <c r="AM84" i="8" s="1"/>
  <c r="AN54" i="8" a="1"/>
  <c r="AN54" i="8" s="1"/>
  <c r="AC63" i="4" s="1"/>
  <c r="F43" i="13" s="1" a="1"/>
  <c r="F43" i="13" s="1"/>
  <c r="AR54" i="8"/>
  <c r="AN24" i="8" a="1"/>
  <c r="AN24" i="8" s="1"/>
  <c r="AC64" i="4" s="1"/>
  <c r="F29" i="13" s="1" a="1"/>
  <c r="F29" i="13" s="1"/>
  <c r="AM68" i="8" a="1"/>
  <c r="AM68" i="8" s="1"/>
  <c r="AM94" i="8" a="1"/>
  <c r="AM94" i="8" s="1"/>
  <c r="AM81" i="8" a="1"/>
  <c r="AM81" i="8" s="1"/>
  <c r="AM74" i="8" a="1"/>
  <c r="AM74" i="8" s="1"/>
  <c r="AN39" i="8" a="1"/>
  <c r="AN39" i="8" s="1"/>
  <c r="AR60" i="8"/>
  <c r="AN60" i="8" a="1"/>
  <c r="AN60" i="8" s="1"/>
  <c r="AC127" i="4" s="1"/>
  <c r="F55" i="13" s="1" a="1"/>
  <c r="F55" i="13" s="1"/>
  <c r="AN55" i="8" a="1"/>
  <c r="AN55" i="8" s="1"/>
  <c r="AC61" i="4" s="1"/>
  <c r="F41" i="13" s="1" a="1"/>
  <c r="F41" i="13" s="1"/>
  <c r="AM70" i="8" a="1"/>
  <c r="AM70" i="8" s="1"/>
  <c r="AB106" i="4" s="1"/>
  <c r="E69" i="13" s="1" a="1"/>
  <c r="E69" i="13" s="1"/>
  <c r="AM93" i="8" a="1"/>
  <c r="AM93" i="8" s="1"/>
  <c r="AM105" i="8" a="1"/>
  <c r="AM105" i="8" s="1"/>
  <c r="AR26" i="8"/>
  <c r="AN26" i="8" a="1"/>
  <c r="AN26" i="8" s="1"/>
  <c r="AM75" i="8" a="1"/>
  <c r="AM75" i="8" s="1"/>
  <c r="AR75" i="8" s="1"/>
  <c r="AM102" i="8" a="1"/>
  <c r="AM102" i="8" s="1"/>
  <c r="AN95" i="8" a="1"/>
  <c r="AN95" i="8" s="1"/>
  <c r="AN82" i="8" a="1"/>
  <c r="AN82" i="8" s="1"/>
  <c r="AM65" i="8" a="1"/>
  <c r="AM65" i="8" s="1"/>
  <c r="AN104" i="8" a="1"/>
  <c r="AN104" i="8" s="1"/>
  <c r="AC80" i="4" s="1"/>
  <c r="F80" i="13" s="1" a="1"/>
  <c r="F80" i="13" s="1"/>
  <c r="AR51" i="8"/>
  <c r="AN51" i="8" a="1"/>
  <c r="AN51" i="8" s="1"/>
  <c r="AN42" i="8" a="1"/>
  <c r="AN42" i="8" s="1"/>
  <c r="AN61" i="8" a="1"/>
  <c r="AN61" i="8" s="1"/>
  <c r="AC129" i="4" s="1"/>
  <c r="F56" i="13" s="1" a="1"/>
  <c r="F56" i="13" s="1"/>
  <c r="AM103" i="8" a="1"/>
  <c r="AM103" i="8" s="1"/>
  <c r="AR103" i="8" s="1"/>
  <c r="AN64" i="8" a="1"/>
  <c r="AN64" i="8" s="1"/>
  <c r="AC104" i="4" s="1"/>
  <c r="F67" i="13" s="1" a="1"/>
  <c r="F67" i="13" s="1"/>
  <c r="AN57" i="8" a="1"/>
  <c r="AN57" i="8" s="1"/>
  <c r="AN71" i="8" a="1"/>
  <c r="AN71" i="8" s="1"/>
  <c r="AM106" i="8" a="1"/>
  <c r="AM106" i="8" s="1"/>
  <c r="AO20" i="8" a="1"/>
  <c r="AO20" i="8" s="1"/>
  <c r="AD67" i="4" s="1"/>
  <c r="G28" i="13" s="1" a="1"/>
  <c r="G28" i="13" s="1"/>
  <c r="AN100" i="8" a="1"/>
  <c r="AN100" i="8" s="1"/>
  <c r="AC79" i="4" s="1"/>
  <c r="F79" i="13" s="1" a="1"/>
  <c r="F79" i="13" s="1"/>
  <c r="AN31" i="8" a="1"/>
  <c r="AN31" i="8" s="1"/>
  <c r="AC118" i="4" s="1"/>
  <c r="F19" i="13" s="1" a="1"/>
  <c r="F19" i="13" s="1"/>
  <c r="AR31" i="8"/>
  <c r="AM69" i="8" a="1"/>
  <c r="AM69" i="8" s="1"/>
  <c r="AR69" i="8" s="1"/>
  <c r="AN46" i="8" a="1"/>
  <c r="AN46" i="8" s="1"/>
  <c r="AR46" i="8"/>
  <c r="AN36" i="8" a="1"/>
  <c r="AN36" i="8" s="1"/>
  <c r="AC122" i="4" s="1"/>
  <c r="F25" i="13" s="1" a="1"/>
  <c r="F25" i="13" s="1"/>
  <c r="AM44" i="8" a="1"/>
  <c r="AM44" i="8" s="1"/>
  <c r="AN99" i="8" a="1"/>
  <c r="AN99" i="8" s="1"/>
  <c r="AN77" i="8" a="1"/>
  <c r="AN77" i="8" s="1"/>
  <c r="AM101" i="8" a="1"/>
  <c r="AM101" i="8" s="1"/>
  <c r="AM32" i="8" a="1"/>
  <c r="AM32" i="8" s="1"/>
  <c r="AN91" i="8" a="1"/>
  <c r="AN91" i="8" s="1"/>
  <c r="AN88" i="8" a="1"/>
  <c r="AN88" i="8" s="1"/>
  <c r="AC76" i="4" s="1"/>
  <c r="F76" i="13" s="1" a="1"/>
  <c r="F76" i="13" s="1"/>
  <c r="AN58" i="8" a="1"/>
  <c r="AN58" i="8" s="1"/>
  <c r="AB125" i="4"/>
  <c r="E53" i="13" s="1" a="1"/>
  <c r="E53" i="13" s="1"/>
  <c r="AM109" i="8" a="1"/>
  <c r="AM109" i="8" s="1"/>
  <c r="AM43" i="8" a="1"/>
  <c r="AM43" i="8" s="1"/>
  <c r="AM98" i="8" a="1"/>
  <c r="AM98" i="8" s="1"/>
  <c r="AB87" i="4" s="1"/>
  <c r="E87" i="13" s="1" a="1"/>
  <c r="E87" i="13" s="1"/>
  <c r="AM37" i="8" a="1"/>
  <c r="AM37" i="8" s="1"/>
  <c r="AM89" i="8" a="1"/>
  <c r="AM89" i="8" s="1"/>
  <c r="AB96" i="4" s="1"/>
  <c r="E96" i="13" s="1" a="1"/>
  <c r="E96" i="13" s="1"/>
  <c r="AN59" i="8" a="1"/>
  <c r="AN59" i="8" s="1"/>
  <c r="AC128" i="4" s="1"/>
  <c r="F57" i="13" s="1" a="1"/>
  <c r="F57" i="13" s="1"/>
  <c r="AR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BC27" i="8"/>
  <c r="AU60" i="7"/>
  <c r="AS67" i="7"/>
  <c r="AS99" i="7"/>
  <c r="AU38" i="7"/>
  <c r="AS76" i="7"/>
  <c r="AT39" i="7"/>
  <c r="AS81" i="7"/>
  <c r="AS70" i="7"/>
  <c r="BB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AG116" i="8"/>
  <c r="AG101" i="7" a="1"/>
  <c r="AG101" i="7" s="1"/>
  <c r="AG77" i="7" a="1"/>
  <c r="AG77" i="7" s="1"/>
  <c r="W115" i="4"/>
  <c r="X115" i="4" s="1"/>
  <c r="AH52" i="7" a="1"/>
  <c r="AH52" i="7" s="1"/>
  <c r="AO100" i="4"/>
  <c r="T100" i="13" s="1" a="1"/>
  <c r="T100" i="13" s="1"/>
  <c r="AO77" i="4"/>
  <c r="T77" i="13" s="1" a="1"/>
  <c r="T77" i="13" s="1"/>
  <c r="AO81" i="4"/>
  <c r="T81" i="13" s="1" a="1"/>
  <c r="T81" i="13" s="1"/>
  <c r="AO88" i="4"/>
  <c r="T88" i="13" s="1" a="1"/>
  <c r="T88" i="13" s="1"/>
  <c r="AO85" i="4"/>
  <c r="T85" i="13" s="1" a="1"/>
  <c r="T85" i="13" s="1"/>
  <c r="AO79" i="4"/>
  <c r="T79" i="13" s="1" a="1"/>
  <c r="T79" i="13" s="1"/>
  <c r="AO99" i="4"/>
  <c r="T99" i="13" s="1" a="1"/>
  <c r="T99" i="13" s="1"/>
  <c r="AO101" i="4"/>
  <c r="T101" i="13" s="1" a="1"/>
  <c r="T101" i="13" s="1"/>
  <c r="AO93" i="4"/>
  <c r="T93" i="13" s="1" a="1"/>
  <c r="T93" i="13" s="1"/>
  <c r="AO75" i="4"/>
  <c r="T75" i="13" s="1" a="1"/>
  <c r="T75" i="13" s="1"/>
  <c r="AO92" i="4"/>
  <c r="T92" i="13" s="1" a="1"/>
  <c r="T92" i="13" s="1"/>
  <c r="AO90" i="4"/>
  <c r="T90" i="13" s="1" a="1"/>
  <c r="T90" i="13" s="1"/>
  <c r="AO80" i="4"/>
  <c r="T80" i="13" s="1" a="1"/>
  <c r="T80" i="13" s="1"/>
  <c r="AO74" i="4"/>
  <c r="T74" i="13" s="1" a="1"/>
  <c r="T74" i="13" s="1"/>
  <c r="AO86" i="4"/>
  <c r="T86" i="13" s="1" a="1"/>
  <c r="T86" i="13" s="1"/>
  <c r="AO97" i="4"/>
  <c r="T97" i="13" s="1" a="1"/>
  <c r="T97" i="13" s="1"/>
  <c r="AO84" i="4"/>
  <c r="T84" i="13" s="1" a="1"/>
  <c r="T84" i="13" s="1"/>
  <c r="AO95" i="4"/>
  <c r="T95" i="13" s="1" a="1"/>
  <c r="T95" i="13" s="1"/>
  <c r="AO73" i="4"/>
  <c r="T73" i="13" s="1" a="1"/>
  <c r="T73" i="13" s="1"/>
  <c r="AO128" i="4"/>
  <c r="T57" i="13" s="1" a="1"/>
  <c r="T57" i="13" s="1"/>
  <c r="AO98" i="4"/>
  <c r="T98" i="13" s="1" a="1"/>
  <c r="T98" i="13" s="1"/>
  <c r="AO82" i="4"/>
  <c r="T82" i="13" s="1" a="1"/>
  <c r="T82" i="13" s="1"/>
  <c r="AO83" i="4"/>
  <c r="T83" i="13" s="1" a="1"/>
  <c r="T83" i="13" s="1"/>
  <c r="AO91" i="4"/>
  <c r="T91" i="13" s="1" a="1"/>
  <c r="T91" i="13" s="1"/>
  <c r="AO87" i="4"/>
  <c r="T87" i="13" s="1" a="1"/>
  <c r="T87" i="13" s="1"/>
  <c r="AO96" i="4"/>
  <c r="T96" i="13" s="1" a="1"/>
  <c r="T96" i="13" s="1"/>
  <c r="AO76" i="4"/>
  <c r="T76" i="13" s="1" a="1"/>
  <c r="T76" i="13" s="1"/>
  <c r="AO126" i="4"/>
  <c r="T54" i="13" s="1" a="1"/>
  <c r="T54" i="13" s="1"/>
  <c r="AO129" i="4"/>
  <c r="T56" i="13" s="1" a="1"/>
  <c r="T56" i="13" s="1"/>
  <c r="AO94" i="4"/>
  <c r="T94" i="13" s="1" a="1"/>
  <c r="T94" i="13" s="1"/>
  <c r="AO89" i="4"/>
  <c r="T89" i="13" s="1" a="1"/>
  <c r="T89" i="13" s="1"/>
  <c r="AO125" i="4"/>
  <c r="T53" i="13" s="1" a="1"/>
  <c r="T53" i="13" s="1"/>
  <c r="AO62" i="4"/>
  <c r="T42" i="13" s="1" a="1"/>
  <c r="T42" i="13" s="1"/>
  <c r="AO123" i="4"/>
  <c r="T36" i="13" s="1" a="1"/>
  <c r="T36" i="13" s="1"/>
  <c r="AO107" i="4"/>
  <c r="T70" i="13" s="1" a="1"/>
  <c r="T70" i="13" s="1"/>
  <c r="AO102" i="4"/>
  <c r="T65" i="13" s="1" a="1"/>
  <c r="T65" i="13" s="1"/>
  <c r="AO59" i="4"/>
  <c r="T39" i="13" s="1" a="1"/>
  <c r="T39" i="13" s="1"/>
  <c r="AO104" i="4"/>
  <c r="T67" i="13" s="1" a="1"/>
  <c r="T67" i="13" s="1"/>
  <c r="AO78" i="4"/>
  <c r="T78" i="13" s="1" a="1"/>
  <c r="T78" i="13" s="1"/>
  <c r="AO63" i="4"/>
  <c r="T43" i="13" s="1" a="1"/>
  <c r="T43" i="13" s="1"/>
  <c r="AO71" i="4"/>
  <c r="T33" i="13" s="1" a="1"/>
  <c r="T33" i="13" s="1"/>
  <c r="AO103" i="4"/>
  <c r="T66" i="13" s="1" a="1"/>
  <c r="T66" i="13" s="1"/>
  <c r="AO110" i="4"/>
  <c r="T46" i="13" s="1" a="1"/>
  <c r="T46" i="13" s="1"/>
  <c r="AO116" i="4"/>
  <c r="T18" i="13" s="1" a="1"/>
  <c r="T18" i="13" s="1"/>
  <c r="AO105" i="4"/>
  <c r="T68" i="13" s="1" a="1"/>
  <c r="T68" i="13" s="1"/>
  <c r="AO127" i="4"/>
  <c r="T55" i="13" s="1" a="1"/>
  <c r="T55" i="13" s="1"/>
  <c r="AO65" i="4"/>
  <c r="T27" i="13" s="1" a="1"/>
  <c r="T27" i="13" s="1"/>
  <c r="AO72" i="4"/>
  <c r="T72" i="13" s="1" a="1"/>
  <c r="T72" i="13" s="1"/>
  <c r="AO61" i="4"/>
  <c r="T41" i="13" s="1" a="1"/>
  <c r="T41" i="13" s="1"/>
  <c r="AO121" i="4"/>
  <c r="T24" i="13" s="1" a="1"/>
  <c r="T24" i="13" s="1"/>
  <c r="AO69" i="4"/>
  <c r="T31" i="13" s="1" a="1"/>
  <c r="T31" i="13" s="1"/>
  <c r="AO124" i="4"/>
  <c r="T37" i="13" s="1" a="1"/>
  <c r="T37" i="13" s="1"/>
  <c r="AO70" i="4"/>
  <c r="T32" i="13" s="1" a="1"/>
  <c r="T32" i="13" s="1"/>
  <c r="AO68" i="4"/>
  <c r="T34" i="13" s="1" a="1"/>
  <c r="T34" i="13" s="1"/>
  <c r="AO106" i="4"/>
  <c r="T69" i="13" s="1" a="1"/>
  <c r="T69" i="13" s="1"/>
  <c r="AO60" i="4"/>
  <c r="T40" i="13" s="1" a="1"/>
  <c r="T40" i="13" s="1"/>
  <c r="AO112" i="4"/>
  <c r="T49" i="13" s="1" a="1"/>
  <c r="T49" i="13" s="1"/>
  <c r="AO120" i="4"/>
  <c r="T23" i="13" s="1" a="1"/>
  <c r="T23" i="13" s="1"/>
  <c r="AO118" i="4"/>
  <c r="T19" i="13" s="1" a="1"/>
  <c r="T19" i="13" s="1"/>
  <c r="AO115" i="4"/>
  <c r="T20" i="13" s="1" a="1"/>
  <c r="T20" i="13" s="1"/>
  <c r="AO67" i="4"/>
  <c r="T28" i="13" s="1" a="1"/>
  <c r="T28" i="13" s="1"/>
  <c r="AO114" i="4"/>
  <c r="T51" i="13" s="1" a="1"/>
  <c r="T51" i="13" s="1"/>
  <c r="AO64" i="4"/>
  <c r="T29" i="13" s="1" a="1"/>
  <c r="T29" i="13" s="1"/>
  <c r="AO113" i="4"/>
  <c r="T50" i="13" s="1" a="1"/>
  <c r="T50" i="13" s="1"/>
  <c r="AO66" i="4"/>
  <c r="T30" i="13" s="1" a="1"/>
  <c r="T30" i="13" s="1"/>
  <c r="AO119" i="4"/>
  <c r="T22" i="13" s="1" a="1"/>
  <c r="T22" i="13" s="1"/>
  <c r="AO117" i="4"/>
  <c r="T21" i="13" s="1" a="1"/>
  <c r="T21" i="13" s="1"/>
  <c r="AO111" i="4"/>
  <c r="T48" i="13" s="1" a="1"/>
  <c r="T48" i="13" s="1"/>
  <c r="AO122" i="4"/>
  <c r="T25" i="13" s="1" a="1"/>
  <c r="T25" i="13" s="1"/>
  <c r="AI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S27" i="8"/>
  <c r="AV20" i="7"/>
  <c r="AK20" i="7"/>
  <c r="AK60" i="7"/>
  <c r="AG108" i="7" a="1"/>
  <c r="AG108" i="7" s="1"/>
  <c r="AG66" i="7" a="1"/>
  <c r="AG66" i="7" s="1"/>
  <c r="AG70" i="7" a="1"/>
  <c r="AG70" i="7" s="1"/>
  <c r="AG76" i="7" a="1"/>
  <c r="AG76" i="7" s="1"/>
  <c r="AG71" i="7" a="1"/>
  <c r="AG71" i="7" s="1"/>
  <c r="AH39" i="7" a="1"/>
  <c r="AH39" i="7" s="1"/>
  <c r="AK49" i="7"/>
  <c r="AG81" i="7" a="1"/>
  <c r="AG81" i="7" s="1"/>
  <c r="AP52" i="8" a="1"/>
  <c r="AP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BA73" i="8" a="1"/>
  <c r="AU39" i="7" a="1"/>
  <c r="BA86" i="8" a="1"/>
  <c r="AU67" i="20" a="1"/>
  <c r="AT84" i="7" a="1"/>
  <c r="AU81" i="20" a="1"/>
  <c r="BA38" i="8" a="1"/>
  <c r="AU33" i="20" a="1"/>
  <c r="AT92" i="7" a="1"/>
  <c r="AV57" i="7" a="1"/>
  <c r="BA44" i="8" a="1"/>
  <c r="AT66" i="7" a="1"/>
  <c r="BA108" i="8" a="1"/>
  <c r="AU49" i="20" a="1"/>
  <c r="BA58" i="8" a="1"/>
  <c r="AU62" i="20" a="1"/>
  <c r="BA77" i="8" a="1"/>
  <c r="AU110" i="20" a="1"/>
  <c r="BB60" i="8" a="1"/>
  <c r="AU35" i="20" a="1"/>
  <c r="AT70" i="7" a="1"/>
  <c r="BA102" i="8" a="1"/>
  <c r="BA97" i="8" a="1"/>
  <c r="BA91" i="8" a="1"/>
  <c r="BA93" i="8" a="1"/>
  <c r="BB99" i="8" a="1"/>
  <c r="AV42" i="7" a="1"/>
  <c r="AT95" i="7" a="1"/>
  <c r="AU85" i="20" a="1"/>
  <c r="AU98" i="20" a="1"/>
  <c r="AT100" i="7" a="1"/>
  <c r="AT69" i="7" a="1"/>
  <c r="AU109" i="20" a="1"/>
  <c r="AV51" i="7" a="1"/>
  <c r="AU70" i="20" a="1"/>
  <c r="AT103" i="7" a="1"/>
  <c r="AU69" i="20" a="1"/>
  <c r="BB39" i="8" a="1"/>
  <c r="BB46" i="8" a="1"/>
  <c r="BB78" i="8" a="1"/>
  <c r="AU27" i="7" a="1"/>
  <c r="AT85" i="7" a="1"/>
  <c r="AT109" i="7" a="1"/>
  <c r="BA43" i="8" a="1"/>
  <c r="AU74" i="20" a="1"/>
  <c r="AU86" i="20" a="1"/>
  <c r="AU32" i="20" a="1"/>
  <c r="BA41" i="8" a="1"/>
  <c r="AU50" i="7" a="1"/>
  <c r="BA49" i="8" a="1"/>
  <c r="AV46" i="7" a="1"/>
  <c r="AT104" i="7" a="1"/>
  <c r="BA87" i="8" a="1"/>
  <c r="AV33" i="7" a="1"/>
  <c r="AU53" i="20" a="1"/>
  <c r="AU76" i="20" a="1"/>
  <c r="BA74" i="8" a="1"/>
  <c r="AV49" i="7" a="1"/>
  <c r="AU37" i="7" a="1"/>
  <c r="AT74" i="7" a="1"/>
  <c r="AU47" i="7" a="1"/>
  <c r="AT83" i="7" a="1"/>
  <c r="AT99" i="7" a="1"/>
  <c r="AT86" i="7" a="1"/>
  <c r="AU80" i="20" a="1"/>
  <c r="AU103" i="20" a="1"/>
  <c r="BA35" i="8" a="1"/>
  <c r="AU101" i="20" a="1"/>
  <c r="AT76" i="7" a="1"/>
  <c r="AU37" i="20" a="1"/>
  <c r="AU65" i="20" a="1"/>
  <c r="AU56" i="20" a="1"/>
  <c r="AT80" i="7" a="1"/>
  <c r="AT88" i="7" a="1"/>
  <c r="BB88" i="8" a="1"/>
  <c r="BA68" i="8" a="1"/>
  <c r="BB91" i="8" a="1"/>
  <c r="BA66" i="8" a="1"/>
  <c r="AU23" i="20" a="1"/>
  <c r="AT77" i="7" a="1"/>
  <c r="BA110" i="8" a="1"/>
  <c r="AV60" i="7" a="1"/>
  <c r="AT73" i="7" a="1"/>
  <c r="AT72" i="7" a="1"/>
  <c r="AT110" i="7" a="1"/>
  <c r="AU102" i="20" a="1"/>
  <c r="AU32" i="7" a="1"/>
  <c r="BC52" i="8" a="1"/>
  <c r="AT101" i="7" a="1"/>
  <c r="AU34" i="7" a="1"/>
  <c r="AU75" i="20" a="1"/>
  <c r="AU35" i="7" a="1"/>
  <c r="BB64" i="8" a="1"/>
  <c r="AU52" i="7" a="1"/>
  <c r="AT81" i="7" a="1"/>
  <c r="AU48" i="20" a="1"/>
  <c r="AU45" i="7" a="1"/>
  <c r="AU45" i="20" a="1"/>
  <c r="BA25" i="8" a="1"/>
  <c r="BA24" i="8" a="1"/>
  <c r="BA85" i="8" a="1"/>
  <c r="AT68" i="7" a="1"/>
  <c r="AT87" i="7" a="1"/>
  <c r="BB42" i="8" a="1"/>
  <c r="AU26" i="20" a="1"/>
  <c r="AU54" i="20" a="1"/>
  <c r="AU59" i="20" a="1"/>
  <c r="AU62" i="7" a="1"/>
  <c r="AT107" i="7" a="1"/>
  <c r="BA94" i="8" a="1"/>
  <c r="BA81" i="8" a="1"/>
  <c r="BA84" i="8" a="1"/>
  <c r="AV40" i="7" a="1"/>
  <c r="BB26" i="8" a="1"/>
  <c r="BD27" i="8" a="1"/>
  <c r="AT67" i="7" a="1"/>
  <c r="BA82" i="8" a="1"/>
  <c r="AT71" i="7" a="1"/>
  <c r="BA98" i="8" a="1"/>
  <c r="BA78" i="8" a="1"/>
  <c r="AU43" i="20" a="1"/>
  <c r="AT106" i="7" a="1"/>
  <c r="BB95" i="8" a="1"/>
  <c r="AU93" i="20" a="1"/>
  <c r="BA65" i="8" a="1"/>
  <c r="AT75" i="7" a="1"/>
  <c r="BA75" i="8" a="1"/>
  <c r="AT97" i="7" a="1"/>
  <c r="BB51" i="8" a="1"/>
  <c r="AU97" i="20" a="1"/>
  <c r="AU79" i="20" a="1"/>
  <c r="AU61" i="20" a="1"/>
  <c r="AT79" i="7" a="1"/>
  <c r="BB57" i="8" a="1"/>
  <c r="BB23" i="8" a="1"/>
  <c r="AU24" i="20" a="1"/>
  <c r="BA45" i="8" a="1"/>
  <c r="AU36" i="7" a="1"/>
  <c r="AT93" i="7" a="1"/>
  <c r="AU55" i="7" a="1"/>
  <c r="AT96" i="7" a="1"/>
  <c r="AU41" i="7" a="1"/>
  <c r="AU106" i="20" a="1"/>
  <c r="AU58" i="20" a="1"/>
  <c r="BA50" i="8" a="1"/>
  <c r="AT82" i="7" a="1"/>
  <c r="AU84" i="20" a="1"/>
  <c r="AT89" i="7" a="1"/>
  <c r="AU44" i="20" a="1"/>
  <c r="BB107" i="8" a="1"/>
  <c r="BA39" i="8" a="1"/>
  <c r="BA71" i="8" a="1"/>
  <c r="BB25" i="8" a="1"/>
  <c r="AT65" i="7" a="1"/>
  <c r="BA79" i="8" a="1"/>
  <c r="BA83" i="8" a="1"/>
  <c r="AU90" i="20" a="1"/>
  <c r="AU31" i="7" a="1"/>
  <c r="AT78" i="7" a="1"/>
  <c r="AT64" i="7" a="1"/>
  <c r="BA33" i="8" a="1"/>
  <c r="BA101" i="8" a="1"/>
  <c r="AT108" i="7" a="1"/>
  <c r="AT98" i="7" a="1"/>
  <c r="AV38" i="7" a="1"/>
  <c r="BB31" i="8" a="1"/>
  <c r="BA37" i="8" a="1"/>
  <c r="AU25" i="20" a="1"/>
  <c r="BA105" i="8" a="1"/>
  <c r="AU68" i="20" a="1"/>
  <c r="BA109" i="8" a="1"/>
  <c r="AU94" i="20" a="1"/>
  <c r="BB36" i="8" a="1"/>
  <c r="AT91" i="7" a="1"/>
  <c r="BB54" i="8" a="1"/>
  <c r="AV61" i="7" a="1"/>
  <c r="AU60" i="20" a="1"/>
  <c r="AU50" i="20" a="1"/>
  <c r="BB63" i="8" a="1"/>
  <c r="AU44" i="7" a="1"/>
  <c r="AU38" i="20" a="1"/>
  <c r="AU56" i="7" a="1"/>
  <c r="AT105" i="7" a="1"/>
  <c r="BB55" i="8" a="1"/>
  <c r="AT94" i="7" a="1"/>
  <c r="BB58" i="8" a="1"/>
  <c r="AU55" i="20" a="1"/>
  <c r="BB71" i="8" a="1"/>
  <c r="AT102" i="7" a="1"/>
  <c r="AU105" i="20" a="1"/>
  <c r="AU41" i="20" a="1"/>
  <c r="BA80" i="8" a="1"/>
  <c r="BB104" i="8" a="1"/>
  <c r="AU54" i="7" a="1"/>
  <c r="AU59" i="7" a="1"/>
  <c r="AU48" i="7" a="1"/>
  <c r="AU89" i="20" a="1"/>
  <c r="BB77" i="8" a="1"/>
  <c r="AT90" i="7" a="1"/>
  <c r="AU21" i="20" a="1"/>
  <c r="BA106" i="8" a="1"/>
  <c r="BA40" i="8" a="1"/>
  <c r="AV43" i="7" a="1"/>
  <c r="BB87" i="8" a="1"/>
  <c r="BB82" i="8" a="1"/>
  <c r="BA32" i="8" a="1"/>
  <c r="BA73" i="8" l="1"/>
  <c r="BA40" i="8"/>
  <c r="BA77" i="8"/>
  <c r="BA87" i="8"/>
  <c r="BA71" i="8"/>
  <c r="AU109" i="20"/>
  <c r="AU97" i="20"/>
  <c r="AU85" i="20"/>
  <c r="AU75" i="20"/>
  <c r="AU65" i="20"/>
  <c r="AU56" i="20"/>
  <c r="AU48" i="20"/>
  <c r="AU37" i="20"/>
  <c r="AU25" i="20"/>
  <c r="AU106" i="20"/>
  <c r="AU94" i="20"/>
  <c r="AU84" i="20"/>
  <c r="AU74" i="20"/>
  <c r="AU62" i="20"/>
  <c r="AU55" i="20"/>
  <c r="AU45" i="20"/>
  <c r="AU35" i="20"/>
  <c r="AU24" i="20"/>
  <c r="AU105" i="20"/>
  <c r="AU93" i="20"/>
  <c r="AU81" i="20"/>
  <c r="AU70" i="20"/>
  <c r="AU61" i="20"/>
  <c r="AU54" i="20"/>
  <c r="AU44" i="20"/>
  <c r="AU33" i="20"/>
  <c r="AU23" i="20"/>
  <c r="AU102" i="20"/>
  <c r="AU90" i="20"/>
  <c r="AU80" i="20"/>
  <c r="AU69" i="20"/>
  <c r="AU60" i="20"/>
  <c r="AU53" i="20"/>
  <c r="AU43" i="20"/>
  <c r="AU32" i="20"/>
  <c r="AU21" i="20"/>
  <c r="AU101" i="20"/>
  <c r="AU89" i="20"/>
  <c r="AU79" i="20"/>
  <c r="AU68" i="20"/>
  <c r="AU59" i="20"/>
  <c r="AU50" i="20"/>
  <c r="AU41" i="20"/>
  <c r="AU103" i="20"/>
  <c r="AU110" i="20"/>
  <c r="AU98" i="20"/>
  <c r="AU86" i="20"/>
  <c r="AU76" i="20"/>
  <c r="AU67" i="20"/>
  <c r="AU58" i="20"/>
  <c r="AU49" i="20"/>
  <c r="AU38" i="20"/>
  <c r="AU26" i="20"/>
  <c r="AK110" i="20"/>
  <c r="AK109" i="20"/>
  <c r="AK106" i="20"/>
  <c r="AK105" i="20"/>
  <c r="AK102" i="20"/>
  <c r="AK101" i="20"/>
  <c r="AK98" i="20"/>
  <c r="AK97" i="20"/>
  <c r="AK94" i="20"/>
  <c r="AK93" i="20"/>
  <c r="AK90" i="20"/>
  <c r="AK89" i="20"/>
  <c r="AK86" i="20"/>
  <c r="AK85" i="20"/>
  <c r="AK84" i="20"/>
  <c r="AK81" i="20"/>
  <c r="AK80" i="20"/>
  <c r="AK79" i="20"/>
  <c r="AK76" i="20"/>
  <c r="AK75" i="20"/>
  <c r="AK74" i="20"/>
  <c r="AK70" i="20"/>
  <c r="AK69" i="20"/>
  <c r="AK68" i="20"/>
  <c r="AK67" i="20"/>
  <c r="AK65" i="20"/>
  <c r="AK62" i="20"/>
  <c r="AK61" i="20"/>
  <c r="AK60" i="20"/>
  <c r="AK59" i="20"/>
  <c r="AK58" i="20"/>
  <c r="AK56" i="20"/>
  <c r="AK55" i="20"/>
  <c r="AK54" i="20"/>
  <c r="AK53" i="20"/>
  <c r="AK50" i="20"/>
  <c r="AK49" i="20"/>
  <c r="AK48" i="20"/>
  <c r="AK45" i="20"/>
  <c r="AK44" i="20"/>
  <c r="AK43" i="20"/>
  <c r="AK41" i="20"/>
  <c r="AK38" i="20"/>
  <c r="AK37" i="20"/>
  <c r="AK35" i="20"/>
  <c r="AK33" i="20"/>
  <c r="AK32" i="20"/>
  <c r="AK103" i="20"/>
  <c r="AK26" i="20"/>
  <c r="AK25" i="20"/>
  <c r="AK24" i="20"/>
  <c r="AK23" i="20"/>
  <c r="AK21" i="20"/>
  <c r="BA78" i="8"/>
  <c r="BA39" i="8"/>
  <c r="BA91" i="8"/>
  <c r="BA24" i="8"/>
  <c r="BA66" i="8"/>
  <c r="BA82" i="8"/>
  <c r="BA108" i="8"/>
  <c r="BA58" i="8"/>
  <c r="BA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BA25" i="8"/>
  <c r="W126" i="4"/>
  <c r="AR67" i="8"/>
  <c r="AR37" i="8"/>
  <c r="AB120" i="4"/>
  <c r="E23" i="13" s="1" a="1"/>
  <c r="E23" i="13" s="1"/>
  <c r="AR44" i="8"/>
  <c r="AB112" i="4"/>
  <c r="E49" i="13" s="1" a="1"/>
  <c r="E49" i="13" s="1"/>
  <c r="AR68" i="8"/>
  <c r="AB107" i="4"/>
  <c r="E70" i="13" s="1" a="1"/>
  <c r="E70" i="13" s="1"/>
  <c r="AR85" i="8"/>
  <c r="AB95" i="4"/>
  <c r="E95" i="13" s="1" a="1"/>
  <c r="E95" i="13" s="1"/>
  <c r="AR35" i="8"/>
  <c r="AB115" i="4"/>
  <c r="E20" i="13" s="1" a="1"/>
  <c r="E20" i="13" s="1"/>
  <c r="AR38" i="8"/>
  <c r="AB119" i="4"/>
  <c r="E22" i="13" s="1" a="1"/>
  <c r="E22" i="13" s="1"/>
  <c r="AR43" i="8"/>
  <c r="AB114" i="4"/>
  <c r="E51" i="13" s="1" a="1"/>
  <c r="E51" i="13" s="1"/>
  <c r="AR105" i="8"/>
  <c r="AB100" i="4"/>
  <c r="E100" i="13" s="1" a="1"/>
  <c r="E100" i="13" s="1"/>
  <c r="AR80" i="8"/>
  <c r="AB94" i="4"/>
  <c r="E94" i="13" s="1" a="1"/>
  <c r="E94" i="13" s="1"/>
  <c r="AR45" i="8"/>
  <c r="AB111" i="4"/>
  <c r="E48" i="13" s="1" a="1"/>
  <c r="E48" i="13" s="1"/>
  <c r="AR109" i="8"/>
  <c r="AB101" i="4"/>
  <c r="E101" i="13" s="1" a="1"/>
  <c r="E101" i="13" s="1"/>
  <c r="AC109" i="4"/>
  <c r="F45" i="13" s="1" a="1"/>
  <c r="F45" i="13" s="1"/>
  <c r="AC108" i="4"/>
  <c r="F47" i="13" s="1" a="1"/>
  <c r="F47" i="13" s="1"/>
  <c r="AR93" i="8"/>
  <c r="AB97" i="4"/>
  <c r="E97" i="13" s="1" a="1"/>
  <c r="E97" i="13" s="1"/>
  <c r="AR97" i="8"/>
  <c r="AB98" i="4"/>
  <c r="E98" i="13" s="1" a="1"/>
  <c r="E98" i="13" s="1"/>
  <c r="AR84" i="8"/>
  <c r="AB93" i="4"/>
  <c r="E93" i="13" s="1" a="1"/>
  <c r="E93" i="13" s="1"/>
  <c r="AR41" i="8"/>
  <c r="AB113" i="4"/>
  <c r="E50" i="13" s="1" a="1"/>
  <c r="E50" i="13" s="1"/>
  <c r="AR49" i="8"/>
  <c r="AB124" i="4"/>
  <c r="E37" i="13" s="1" a="1"/>
  <c r="E37" i="13" s="1"/>
  <c r="AR65" i="8"/>
  <c r="AB105" i="4"/>
  <c r="E68" i="13" s="1" a="1"/>
  <c r="E68" i="13" s="1"/>
  <c r="AR79" i="8"/>
  <c r="AB92" i="4"/>
  <c r="E92" i="13" s="1" a="1"/>
  <c r="E92" i="13" s="1"/>
  <c r="AR32" i="8"/>
  <c r="AB117" i="4"/>
  <c r="E21" i="13" s="1" a="1"/>
  <c r="E21" i="13" s="1"/>
  <c r="AR101" i="8"/>
  <c r="AB99" i="4"/>
  <c r="E99" i="13" s="1" a="1"/>
  <c r="E99" i="13" s="1"/>
  <c r="AR74" i="8"/>
  <c r="AB91" i="4"/>
  <c r="E91" i="13" s="1" a="1"/>
  <c r="E91" i="13" s="1"/>
  <c r="AO109" i="4"/>
  <c r="T45" i="13" s="1" a="1"/>
  <c r="T45" i="13" s="1"/>
  <c r="AO108" i="4"/>
  <c r="T47" i="13" s="1" a="1"/>
  <c r="T47" i="13" s="1"/>
  <c r="L107" i="4"/>
  <c r="Q107" i="4" s="1"/>
  <c r="P107" i="4"/>
  <c r="O121" i="4"/>
  <c r="K121" i="4"/>
  <c r="AR90" i="8"/>
  <c r="AR76" i="8"/>
  <c r="AR106" i="8"/>
  <c r="AB89" i="4"/>
  <c r="E89" i="13" s="1" a="1"/>
  <c r="E89" i="13" s="1"/>
  <c r="AR102" i="8"/>
  <c r="AB88" i="4"/>
  <c r="E88" i="13" s="1" a="1"/>
  <c r="E88" i="13" s="1"/>
  <c r="AR81" i="8"/>
  <c r="AB83" i="4"/>
  <c r="E83" i="13" s="1" a="1"/>
  <c r="E83" i="13" s="1"/>
  <c r="AR86" i="8"/>
  <c r="AB84" i="4"/>
  <c r="E84" i="13" s="1" a="1"/>
  <c r="E84" i="13" s="1"/>
  <c r="AR110" i="8"/>
  <c r="AB90" i="4"/>
  <c r="E90" i="13" s="1" a="1"/>
  <c r="E90" i="13" s="1"/>
  <c r="AR94" i="8"/>
  <c r="AB86" i="4"/>
  <c r="E86" i="13" s="1" a="1"/>
  <c r="E86" i="13" s="1"/>
  <c r="AO28" i="8" a="1"/>
  <c r="AO28" i="8" s="1"/>
  <c r="AC71" i="4"/>
  <c r="F33" i="13" s="1" a="1"/>
  <c r="F33" i="13" s="1"/>
  <c r="AO29" i="8" a="1"/>
  <c r="AO29" i="8" s="1"/>
  <c r="AC70" i="4"/>
  <c r="F32" i="13" s="1" a="1"/>
  <c r="F32" i="13" s="1"/>
  <c r="BB55" i="8"/>
  <c r="BB58" i="8"/>
  <c r="BA44" i="8"/>
  <c r="BA106" i="8"/>
  <c r="BA65" i="8"/>
  <c r="BA93" i="8"/>
  <c r="BA38" i="8"/>
  <c r="BB63" i="8"/>
  <c r="BB46" i="8"/>
  <c r="BB64" i="8"/>
  <c r="BB60" i="8"/>
  <c r="BA49" i="8"/>
  <c r="BB87" i="8"/>
  <c r="BA33" i="8"/>
  <c r="BB91" i="8"/>
  <c r="BA102" i="8"/>
  <c r="BB54" i="8"/>
  <c r="BB25" i="8"/>
  <c r="BA97" i="8"/>
  <c r="BB57" i="8"/>
  <c r="BA37" i="8"/>
  <c r="BB39" i="8"/>
  <c r="BB23" i="8"/>
  <c r="BB95" i="8"/>
  <c r="BA98" i="8"/>
  <c r="BA32" i="8"/>
  <c r="BA75" i="8"/>
  <c r="BA84" i="8"/>
  <c r="BA85" i="8"/>
  <c r="BA86" i="8"/>
  <c r="BB107" i="8"/>
  <c r="BA35" i="8"/>
  <c r="BB71" i="8"/>
  <c r="BB31" i="8"/>
  <c r="BB42" i="8"/>
  <c r="BB26" i="8"/>
  <c r="BA74" i="8"/>
  <c r="BA43" i="8"/>
  <c r="BA101" i="8"/>
  <c r="BB51" i="8"/>
  <c r="BA41" i="8"/>
  <c r="BA45" i="8"/>
  <c r="BB82" i="8"/>
  <c r="BA109" i="8"/>
  <c r="BB77" i="8"/>
  <c r="BA81" i="8"/>
  <c r="BB78" i="8"/>
  <c r="BA68" i="8"/>
  <c r="BB99" i="8"/>
  <c r="BB104" i="8"/>
  <c r="BA105" i="8"/>
  <c r="BA80" i="8"/>
  <c r="BA110" i="8"/>
  <c r="BB36" i="8"/>
  <c r="BB88" i="8"/>
  <c r="BA50" i="8"/>
  <c r="BA94" i="8"/>
  <c r="BA79" i="8"/>
  <c r="AO55" i="8" a="1"/>
  <c r="AO55" i="8" s="1"/>
  <c r="AD61" i="4" s="1"/>
  <c r="G41" i="13" s="1" a="1"/>
  <c r="G41" i="13" s="1"/>
  <c r="AD45" i="3"/>
  <c r="AE46" i="3" s="1"/>
  <c r="AC125" i="4"/>
  <c r="F53" i="13" s="1" a="1"/>
  <c r="F53" i="13" s="1"/>
  <c r="AO58" i="8" a="1"/>
  <c r="AO58" i="8" s="1"/>
  <c r="AN44" i="8" a="1"/>
  <c r="AN44" i="8" s="1"/>
  <c r="AC112" i="4" s="1"/>
  <c r="F49" i="13" s="1" a="1"/>
  <c r="F49" i="13" s="1"/>
  <c r="AN106" i="8" a="1"/>
  <c r="AN106" i="8" s="1"/>
  <c r="AC89" i="4" s="1"/>
  <c r="F89" i="13" s="1" a="1"/>
  <c r="F89" i="13" s="1"/>
  <c r="AN65" i="8" a="1"/>
  <c r="AN65" i="8" s="1"/>
  <c r="AC105" i="4" s="1"/>
  <c r="F68" i="13" s="1" a="1"/>
  <c r="F68" i="13" s="1"/>
  <c r="AN93" i="8" a="1"/>
  <c r="AN93" i="8" s="1"/>
  <c r="AC97" i="4" s="1"/>
  <c r="F97" i="13" s="1" a="1"/>
  <c r="F97" i="13" s="1"/>
  <c r="AO92" i="8" a="1"/>
  <c r="AO92" i="8" s="1"/>
  <c r="AD77" i="4" s="1"/>
  <c r="G77" i="13" s="1" a="1"/>
  <c r="G77" i="13" s="1"/>
  <c r="AO34" i="8" a="1"/>
  <c r="AO34" i="8" s="1"/>
  <c r="AD116" i="4" s="1"/>
  <c r="G18" i="13" s="1" a="1"/>
  <c r="G18" i="13" s="1"/>
  <c r="AO53" i="8" a="1"/>
  <c r="AO53" i="8" s="1"/>
  <c r="AD62" i="4" s="1"/>
  <c r="G42" i="13" s="1" a="1"/>
  <c r="G42" i="13" s="1"/>
  <c r="AN38" i="8" a="1"/>
  <c r="AN38" i="8" s="1"/>
  <c r="AC119" i="4" s="1"/>
  <c r="F22" i="13" s="1" a="1"/>
  <c r="F22" i="13" s="1"/>
  <c r="AO63" i="8" a="1"/>
  <c r="AO63" i="8" s="1"/>
  <c r="AR89" i="8"/>
  <c r="AN89" i="8" a="1"/>
  <c r="AN89" i="8" s="1"/>
  <c r="AC96" i="4" s="1"/>
  <c r="F96" i="13" s="1" a="1"/>
  <c r="F96" i="13" s="1"/>
  <c r="AO46" i="8" a="1"/>
  <c r="AO46" i="8" s="1"/>
  <c r="AO64" i="8" a="1"/>
  <c r="AO64" i="8" s="1"/>
  <c r="AD104" i="4" s="1"/>
  <c r="G67" i="13" s="1" a="1"/>
  <c r="G67" i="13" s="1"/>
  <c r="AO60" i="8" a="1"/>
  <c r="AO60" i="8" s="1"/>
  <c r="AD127" i="4" s="1"/>
  <c r="G55" i="13" s="1" a="1"/>
  <c r="G55" i="13" s="1"/>
  <c r="AN67" i="8" a="1"/>
  <c r="AN67" i="8" s="1"/>
  <c r="AC103" i="4" s="1"/>
  <c r="F66" i="13" s="1" a="1"/>
  <c r="F66" i="13" s="1"/>
  <c r="AN49" i="8" a="1"/>
  <c r="AN49" i="8" s="1"/>
  <c r="AC124" i="4" s="1"/>
  <c r="F37" i="13" s="1" a="1"/>
  <c r="F37" i="13" s="1"/>
  <c r="AO87" i="8" a="1"/>
  <c r="AO87" i="8" s="1"/>
  <c r="AR33" i="8"/>
  <c r="AN33" i="8" a="1"/>
  <c r="AN33" i="8" s="1"/>
  <c r="AC121" i="4" s="1"/>
  <c r="F24" i="13" s="1" a="1"/>
  <c r="F24" i="13" s="1"/>
  <c r="AO91" i="8" a="1"/>
  <c r="AO91" i="8" s="1"/>
  <c r="AN102" i="8" a="1"/>
  <c r="AN102" i="8" s="1"/>
  <c r="AC88" i="4" s="1"/>
  <c r="F88" i="13" s="1" a="1"/>
  <c r="F88" i="13" s="1"/>
  <c r="AO54" i="8" a="1"/>
  <c r="AO54" i="8" s="1"/>
  <c r="AD63" i="4" s="1"/>
  <c r="G43" i="13" s="1" a="1"/>
  <c r="G43" i="13" s="1"/>
  <c r="AO25" i="8" a="1"/>
  <c r="AO25" i="8" s="1"/>
  <c r="AN48" i="8" a="1"/>
  <c r="AN48" i="8" s="1"/>
  <c r="AO96" i="8" a="1"/>
  <c r="AO96" i="8" s="1"/>
  <c r="AD78" i="4" s="1"/>
  <c r="G78" i="13" s="1" a="1"/>
  <c r="G78" i="13" s="1"/>
  <c r="AN97" i="8" a="1"/>
  <c r="AN97" i="8" s="1"/>
  <c r="AC98" i="4" s="1"/>
  <c r="F98" i="13" s="1" a="1"/>
  <c r="F98" i="13" s="1"/>
  <c r="AO57" i="8" a="1"/>
  <c r="AO57" i="8" s="1"/>
  <c r="AN37" i="8" a="1"/>
  <c r="AN37" i="8" s="1"/>
  <c r="AC120" i="4" s="1"/>
  <c r="F23" i="13" s="1" a="1"/>
  <c r="F23" i="13" s="1"/>
  <c r="AN69" i="8" a="1"/>
  <c r="AN69" i="8" s="1"/>
  <c r="AN103" i="8" a="1"/>
  <c r="AN103" i="8" s="1"/>
  <c r="AO39" i="8" a="1"/>
  <c r="AO39" i="8" s="1"/>
  <c r="AO23" i="8" a="1"/>
  <c r="AO23" i="8" s="1"/>
  <c r="AD66" i="4" s="1"/>
  <c r="G30" i="13" s="1" a="1"/>
  <c r="G30" i="13" s="1"/>
  <c r="AO95" i="8" a="1"/>
  <c r="AO95" i="8" s="1"/>
  <c r="AR98" i="8"/>
  <c r="AN98" i="8" a="1"/>
  <c r="AN98" i="8" s="1"/>
  <c r="AC87" i="4" s="1"/>
  <c r="F87" i="13" s="1" a="1"/>
  <c r="F87" i="13" s="1"/>
  <c r="AN32" i="8" a="1"/>
  <c r="AN32" i="8" s="1"/>
  <c r="AC117" i="4" s="1"/>
  <c r="F21" i="13" s="1" a="1"/>
  <c r="F21" i="13" s="1"/>
  <c r="AO61" i="8" a="1"/>
  <c r="AO61" i="8" s="1"/>
  <c r="AD129" i="4" s="1"/>
  <c r="G56" i="13" s="1" a="1"/>
  <c r="G56" i="13" s="1"/>
  <c r="AN75" i="8" a="1"/>
  <c r="AN75" i="8" s="1"/>
  <c r="AN84" i="8" a="1"/>
  <c r="AN84" i="8" s="1"/>
  <c r="AC93" i="4" s="1"/>
  <c r="F93" i="13" s="1" a="1"/>
  <c r="F93" i="13" s="1"/>
  <c r="AO83" i="8" a="1"/>
  <c r="AO83" i="8" s="1"/>
  <c r="AD75" i="4" s="1"/>
  <c r="G75" i="13" s="1" a="1"/>
  <c r="G75" i="13" s="1"/>
  <c r="AN85" i="8" a="1"/>
  <c r="AN85" i="8" s="1"/>
  <c r="AC95" i="4" s="1"/>
  <c r="F95" i="13" s="1" a="1"/>
  <c r="F95" i="13" s="1"/>
  <c r="AN86" i="8" a="1"/>
  <c r="AN86" i="8" s="1"/>
  <c r="AC84" i="4" s="1"/>
  <c r="F84" i="13" s="1" a="1"/>
  <c r="F84" i="13" s="1"/>
  <c r="AO107" i="8" a="1"/>
  <c r="AO107" i="8" s="1"/>
  <c r="AN35" i="8" a="1"/>
  <c r="AN35" i="8" s="1"/>
  <c r="AC115" i="4" s="1"/>
  <c r="F20" i="13" s="1" a="1"/>
  <c r="F20" i="13" s="1"/>
  <c r="AO71" i="8" a="1"/>
  <c r="AO71" i="8" s="1"/>
  <c r="AO59" i="8" a="1"/>
  <c r="AO59" i="8" s="1"/>
  <c r="AD128" i="4" s="1"/>
  <c r="G57" i="13" s="1" a="1"/>
  <c r="G57" i="13" s="1"/>
  <c r="AO31" i="8" a="1"/>
  <c r="AO31" i="8" s="1"/>
  <c r="AD118" i="4" s="1"/>
  <c r="G19" i="13" s="1" a="1"/>
  <c r="G19" i="13" s="1"/>
  <c r="AO42" i="8" a="1"/>
  <c r="AO42" i="8" s="1"/>
  <c r="AO26" i="8" a="1"/>
  <c r="AO26" i="8" s="1"/>
  <c r="AN74" i="8" a="1"/>
  <c r="AN74" i="8" s="1"/>
  <c r="AC91" i="4" s="1"/>
  <c r="F91" i="13" s="1" a="1"/>
  <c r="F91" i="13" s="1"/>
  <c r="AO40" i="8" a="1"/>
  <c r="AO40" i="8" s="1"/>
  <c r="AD110" i="4" s="1"/>
  <c r="G46" i="13" s="1" a="1"/>
  <c r="G46" i="13" s="1"/>
  <c r="AO47" i="8" a="1"/>
  <c r="AO47" i="8" s="1"/>
  <c r="AD123" i="4" s="1"/>
  <c r="G36" i="13" s="1" a="1"/>
  <c r="G36" i="13" s="1"/>
  <c r="AR70" i="8"/>
  <c r="AN70" i="8" a="1"/>
  <c r="AN70" i="8" s="1"/>
  <c r="AC106" i="4" s="1"/>
  <c r="F69" i="13" s="1" a="1"/>
  <c r="F69" i="13" s="1"/>
  <c r="AN43" i="8" a="1"/>
  <c r="AN43" i="8" s="1"/>
  <c r="AC114" i="4" s="1"/>
  <c r="F51" i="13" s="1" a="1"/>
  <c r="F51" i="13" s="1"/>
  <c r="AN101" i="8" a="1"/>
  <c r="AN101" i="8" s="1"/>
  <c r="AC99" i="4" s="1"/>
  <c r="F99" i="13" s="1" a="1"/>
  <c r="F99" i="13" s="1"/>
  <c r="AO100" i="8" a="1"/>
  <c r="AO100" i="8" s="1"/>
  <c r="AD79" i="4" s="1"/>
  <c r="G79" i="13" s="1" a="1"/>
  <c r="G79" i="13" s="1"/>
  <c r="AO51" i="8" a="1"/>
  <c r="AO51" i="8" s="1"/>
  <c r="AN76" i="8" a="1"/>
  <c r="AN76" i="8" s="1"/>
  <c r="AC82" i="4" s="1"/>
  <c r="F82" i="13" s="1" a="1"/>
  <c r="F82" i="13" s="1"/>
  <c r="AO72" i="8" a="1"/>
  <c r="AO72" i="8" s="1"/>
  <c r="AD72" i="4" s="1"/>
  <c r="G72" i="13" s="1" a="1"/>
  <c r="G72" i="13" s="1"/>
  <c r="G73" i="13" s="1"/>
  <c r="AO66" i="8" a="1"/>
  <c r="AO66" i="8" s="1"/>
  <c r="AD102" i="4" s="1"/>
  <c r="G65" i="13" s="1" a="1"/>
  <c r="G65" i="13" s="1"/>
  <c r="AN41" i="8" a="1"/>
  <c r="AN41" i="8" s="1"/>
  <c r="AC113" i="4" s="1"/>
  <c r="F50" i="13" s="1" a="1"/>
  <c r="F50" i="13" s="1"/>
  <c r="AN45" i="8" a="1"/>
  <c r="AN45" i="8" s="1"/>
  <c r="AC111" i="4" s="1"/>
  <c r="F48" i="13" s="1" a="1"/>
  <c r="F48" i="13" s="1"/>
  <c r="AO82" i="8" a="1"/>
  <c r="AO82" i="8" s="1"/>
  <c r="AO24" i="8" a="1"/>
  <c r="AO24" i="8" s="1"/>
  <c r="AD64" i="4" s="1"/>
  <c r="G29" i="13" s="1" a="1"/>
  <c r="G29" i="13" s="1"/>
  <c r="AN109" i="8" a="1"/>
  <c r="AN109" i="8" s="1"/>
  <c r="AC101" i="4" s="1"/>
  <c r="F101" i="13" s="1" a="1"/>
  <c r="F101" i="13" s="1"/>
  <c r="AO77" i="8" a="1"/>
  <c r="AO77" i="8" s="1"/>
  <c r="AP20" i="8" a="1"/>
  <c r="AP20" i="8" s="1"/>
  <c r="AE67" i="4" s="1"/>
  <c r="H28" i="13" s="1" a="1"/>
  <c r="H28" i="13" s="1"/>
  <c r="AN81" i="8" a="1"/>
  <c r="AN81" i="8" s="1"/>
  <c r="AC83" i="4" s="1"/>
  <c r="F83" i="13" s="1" a="1"/>
  <c r="F83" i="13" s="1"/>
  <c r="AO78" i="8" a="1"/>
  <c r="AO78" i="8" s="1"/>
  <c r="AD74" i="4" s="1"/>
  <c r="G74" i="13" s="1" a="1"/>
  <c r="G74" i="13" s="1"/>
  <c r="AO108" i="8" a="1"/>
  <c r="AO108" i="8" s="1"/>
  <c r="AD81" i="4" s="1"/>
  <c r="G81" i="13" s="1" a="1"/>
  <c r="G81" i="13" s="1"/>
  <c r="AN68" i="8" a="1"/>
  <c r="AN68" i="8" s="1"/>
  <c r="AC107" i="4" s="1"/>
  <c r="F70" i="13" s="1" a="1"/>
  <c r="F70" i="13" s="1"/>
  <c r="AN90" i="8" a="1"/>
  <c r="AN90" i="8" s="1"/>
  <c r="AC85" i="4" s="1"/>
  <c r="F85" i="13" s="1" a="1"/>
  <c r="F85" i="13" s="1"/>
  <c r="AO99" i="8" a="1"/>
  <c r="AO99" i="8" s="1"/>
  <c r="AO104" i="8" a="1"/>
  <c r="AO104" i="8" s="1"/>
  <c r="AD80" i="4" s="1"/>
  <c r="G80" i="13" s="1" a="1"/>
  <c r="G80" i="13" s="1"/>
  <c r="AN105" i="8" a="1"/>
  <c r="AN105" i="8" s="1"/>
  <c r="AC100" i="4" s="1"/>
  <c r="F100" i="13" s="1" a="1"/>
  <c r="F100" i="13" s="1"/>
  <c r="AN80" i="8" a="1"/>
  <c r="AN80" i="8" s="1"/>
  <c r="AC94" i="4" s="1"/>
  <c r="F94" i="13" s="1" a="1"/>
  <c r="F94" i="13" s="1"/>
  <c r="AO62" i="8" a="1"/>
  <c r="AO62" i="8" s="1"/>
  <c r="AD126" i="4" s="1"/>
  <c r="G54" i="13" s="1" a="1"/>
  <c r="G54" i="13" s="1"/>
  <c r="AN110" i="8" a="1"/>
  <c r="AN110" i="8" s="1"/>
  <c r="AC90" i="4" s="1"/>
  <c r="F90" i="13" s="1" a="1"/>
  <c r="F90" i="13" s="1"/>
  <c r="AO36" i="8" a="1"/>
  <c r="AO36" i="8" s="1"/>
  <c r="AD122" i="4" s="1"/>
  <c r="G25" i="13" s="1" a="1"/>
  <c r="G25" i="13" s="1"/>
  <c r="AO88" i="8" a="1"/>
  <c r="AO88" i="8" s="1"/>
  <c r="AD76" i="4" s="1"/>
  <c r="G76" i="13" s="1" a="1"/>
  <c r="G76" i="13" s="1"/>
  <c r="AN50" i="8" a="1"/>
  <c r="AN50" i="8" s="1"/>
  <c r="AN94" i="8" a="1"/>
  <c r="AN94" i="8" s="1"/>
  <c r="AC86" i="4" s="1"/>
  <c r="F86" i="13" s="1" a="1"/>
  <c r="F86" i="13" s="1"/>
  <c r="AO21" i="8" a="1"/>
  <c r="AO21" i="8" s="1"/>
  <c r="AD68" i="4" s="1"/>
  <c r="G34" i="13" s="1" a="1"/>
  <c r="G34" i="13" s="1"/>
  <c r="AN79" i="8" a="1"/>
  <c r="AN79" i="8" s="1"/>
  <c r="AC92" i="4" s="1"/>
  <c r="F92" i="13" s="1" a="1"/>
  <c r="F92" i="13" s="1"/>
  <c r="AO56" i="8" a="1"/>
  <c r="AO56" i="8" s="1"/>
  <c r="AD60" i="4" s="1"/>
  <c r="G40" i="13" s="1" a="1"/>
  <c r="G40" i="13" s="1"/>
  <c r="AO73" i="8" a="1"/>
  <c r="AO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BC52" i="8"/>
  <c r="BD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P101" i="4"/>
  <c r="U101" i="13" s="1" a="1"/>
  <c r="U101" i="13" s="1"/>
  <c r="AP80" i="4"/>
  <c r="U80" i="13" s="1" a="1"/>
  <c r="U80" i="13" s="1"/>
  <c r="AP79" i="4"/>
  <c r="U79" i="13" s="1" a="1"/>
  <c r="U79" i="13" s="1"/>
  <c r="AP98" i="4"/>
  <c r="U98" i="13" s="1" a="1"/>
  <c r="U98" i="13" s="1"/>
  <c r="AP76" i="4"/>
  <c r="U76" i="13" s="1" a="1"/>
  <c r="U76" i="13" s="1"/>
  <c r="AP95" i="4"/>
  <c r="U95" i="13" s="1" a="1"/>
  <c r="U95" i="13" s="1"/>
  <c r="AP86" i="4"/>
  <c r="U86" i="13" s="1" a="1"/>
  <c r="U86" i="13" s="1"/>
  <c r="AP90" i="4"/>
  <c r="U90" i="13" s="1" a="1"/>
  <c r="U90" i="13" s="1"/>
  <c r="AP89" i="4"/>
  <c r="U89" i="13" s="1" a="1"/>
  <c r="U89" i="13" s="1"/>
  <c r="AP99" i="4"/>
  <c r="U99" i="13" s="1" a="1"/>
  <c r="U99" i="13" s="1"/>
  <c r="AP74" i="4"/>
  <c r="U74" i="13" s="1" a="1"/>
  <c r="U74" i="13" s="1"/>
  <c r="AP88" i="4"/>
  <c r="U88" i="13" s="1" a="1"/>
  <c r="U88" i="13" s="1"/>
  <c r="AP96" i="4"/>
  <c r="U96" i="13" s="1" a="1"/>
  <c r="U96" i="13" s="1"/>
  <c r="AP97" i="4"/>
  <c r="U97" i="13" s="1" a="1"/>
  <c r="U97" i="13" s="1"/>
  <c r="AP84" i="4"/>
  <c r="U84" i="13" s="1" a="1"/>
  <c r="U84" i="13" s="1"/>
  <c r="AP73" i="4"/>
  <c r="U73" i="13" s="1" a="1"/>
  <c r="U73" i="13" s="1"/>
  <c r="AP82" i="4"/>
  <c r="U82" i="13" s="1" a="1"/>
  <c r="U82" i="13" s="1"/>
  <c r="AP125" i="4"/>
  <c r="U53" i="13" s="1" a="1"/>
  <c r="U53" i="13" s="1"/>
  <c r="AP87" i="4"/>
  <c r="U87" i="13" s="1" a="1"/>
  <c r="U87" i="13" s="1"/>
  <c r="AP126" i="4"/>
  <c r="U54" i="13" s="1" a="1"/>
  <c r="U54" i="13" s="1"/>
  <c r="AP92" i="4"/>
  <c r="U92" i="13" s="1" a="1"/>
  <c r="U92" i="13" s="1"/>
  <c r="AP107" i="4"/>
  <c r="U70" i="13" s="1" a="1"/>
  <c r="U70" i="13" s="1"/>
  <c r="AP105" i="4"/>
  <c r="U68" i="13" s="1" a="1"/>
  <c r="U68" i="13" s="1"/>
  <c r="AP100" i="4"/>
  <c r="U100" i="13" s="1" a="1"/>
  <c r="U100" i="13" s="1"/>
  <c r="AP85" i="4"/>
  <c r="U85" i="13" s="1" a="1"/>
  <c r="U85" i="13" s="1"/>
  <c r="AP129" i="4"/>
  <c r="U56" i="13" s="1" a="1"/>
  <c r="U56" i="13" s="1"/>
  <c r="AP103" i="4"/>
  <c r="U66" i="13" s="1" a="1"/>
  <c r="U66" i="13" s="1"/>
  <c r="AP127" i="4"/>
  <c r="U55" i="13" s="1" a="1"/>
  <c r="U55" i="13" s="1"/>
  <c r="AP72" i="4"/>
  <c r="U72" i="13" s="1" a="1"/>
  <c r="U72" i="13" s="1"/>
  <c r="AP75" i="4"/>
  <c r="U75" i="13" s="1" a="1"/>
  <c r="U75" i="13" s="1"/>
  <c r="AP102" i="4"/>
  <c r="U65" i="13" s="1" a="1"/>
  <c r="U65" i="13" s="1"/>
  <c r="AP59" i="4"/>
  <c r="U39" i="13" s="1" a="1"/>
  <c r="U39" i="13" s="1"/>
  <c r="AP93" i="4"/>
  <c r="U93" i="13" s="1" a="1"/>
  <c r="U93" i="13" s="1"/>
  <c r="AP104" i="4"/>
  <c r="U67" i="13" s="1" a="1"/>
  <c r="U67" i="13" s="1"/>
  <c r="AP128" i="4"/>
  <c r="U57" i="13" s="1" a="1"/>
  <c r="U57" i="13" s="1"/>
  <c r="AP111" i="4"/>
  <c r="U48" i="13" s="1" a="1"/>
  <c r="U48" i="13" s="1"/>
  <c r="AP106" i="4"/>
  <c r="U69" i="13" s="1" a="1"/>
  <c r="U69" i="13" s="1"/>
  <c r="AP83" i="4"/>
  <c r="U83" i="13" s="1" a="1"/>
  <c r="U83" i="13" s="1"/>
  <c r="AP91" i="4"/>
  <c r="U91" i="13" s="1" a="1"/>
  <c r="U91" i="13" s="1"/>
  <c r="AP94" i="4"/>
  <c r="U94" i="13" s="1" a="1"/>
  <c r="U94" i="13" s="1"/>
  <c r="AP61" i="4"/>
  <c r="U41" i="13" s="1" a="1"/>
  <c r="U41" i="13" s="1"/>
  <c r="AP121" i="4"/>
  <c r="U24" i="13" s="1" a="1"/>
  <c r="U24" i="13" s="1"/>
  <c r="AP69" i="4"/>
  <c r="U31" i="13" s="1" a="1"/>
  <c r="U31" i="13" s="1"/>
  <c r="AP81" i="4"/>
  <c r="U81" i="13" s="1" a="1"/>
  <c r="U81" i="13" s="1"/>
  <c r="AP78" i="4"/>
  <c r="U78" i="13" s="1" a="1"/>
  <c r="U78" i="13" s="1"/>
  <c r="AP124" i="4"/>
  <c r="U37" i="13" s="1" a="1"/>
  <c r="U37" i="13" s="1"/>
  <c r="AP70" i="4"/>
  <c r="U32" i="13" s="1" a="1"/>
  <c r="U32" i="13" s="1"/>
  <c r="AP68" i="4"/>
  <c r="U34" i="13" s="1" a="1"/>
  <c r="U34" i="13" s="1"/>
  <c r="AP119" i="4"/>
  <c r="U22" i="13" s="1" a="1"/>
  <c r="U22" i="13" s="1"/>
  <c r="AP117" i="4"/>
  <c r="U21" i="13" s="1" a="1"/>
  <c r="U21" i="13" s="1"/>
  <c r="AP77" i="4"/>
  <c r="U77" i="13" s="1" a="1"/>
  <c r="U77" i="13" s="1"/>
  <c r="AP114" i="4"/>
  <c r="U51" i="13" s="1" a="1"/>
  <c r="U51" i="13" s="1"/>
  <c r="AP67" i="4"/>
  <c r="U28" i="13" s="1" a="1"/>
  <c r="U28" i="13" s="1"/>
  <c r="AP63" i="4"/>
  <c r="U43" i="13" s="1" a="1"/>
  <c r="U43" i="13" s="1"/>
  <c r="AP122" i="4"/>
  <c r="U25" i="13" s="1" a="1"/>
  <c r="U25" i="13" s="1"/>
  <c r="AP66" i="4"/>
  <c r="U30" i="13" s="1" a="1"/>
  <c r="U30" i="13" s="1"/>
  <c r="AP60" i="4"/>
  <c r="U40" i="13" s="1" a="1"/>
  <c r="U40" i="13" s="1"/>
  <c r="AP71" i="4"/>
  <c r="U33" i="13" s="1" a="1"/>
  <c r="U33" i="13" s="1"/>
  <c r="AP123" i="4"/>
  <c r="U36" i="13" s="1" a="1"/>
  <c r="U36" i="13" s="1"/>
  <c r="AP120" i="4"/>
  <c r="U23" i="13" s="1" a="1"/>
  <c r="U23" i="13" s="1"/>
  <c r="AP110" i="4"/>
  <c r="U46" i="13" s="1" a="1"/>
  <c r="U46" i="13" s="1"/>
  <c r="AP118" i="4"/>
  <c r="U19" i="13" s="1" a="1"/>
  <c r="U19" i="13" s="1"/>
  <c r="AP62" i="4"/>
  <c r="U42" i="13" s="1" a="1"/>
  <c r="U42" i="13" s="1"/>
  <c r="AP116" i="4"/>
  <c r="U18" i="13" s="1" a="1"/>
  <c r="U18" i="13" s="1"/>
  <c r="AP65" i="4"/>
  <c r="U27" i="13" s="1" a="1"/>
  <c r="U27" i="13" s="1"/>
  <c r="AP113" i="4"/>
  <c r="U50" i="13" s="1" a="1"/>
  <c r="U50" i="13" s="1"/>
  <c r="AP115" i="4"/>
  <c r="U20" i="13" s="1" a="1"/>
  <c r="U20" i="13" s="1"/>
  <c r="AJ18" i="8"/>
  <c r="AP112" i="4"/>
  <c r="U49" i="13" s="1" a="1"/>
  <c r="U49" i="13" s="1"/>
  <c r="AP64" i="4"/>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S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V81" i="20" a="1"/>
  <c r="BB73" i="8" a="1"/>
  <c r="AV44" i="20" a="1"/>
  <c r="AU84" i="7" a="1"/>
  <c r="AU82" i="7" a="1"/>
  <c r="AU88" i="7" a="1"/>
  <c r="BB47" i="8" a="1"/>
  <c r="AV32" i="7" a="1"/>
  <c r="AU109" i="7" a="1"/>
  <c r="AU101" i="7" a="1"/>
  <c r="BA90" i="8" a="1"/>
  <c r="BB72" i="8" a="1"/>
  <c r="AV41" i="7" a="1"/>
  <c r="AV37" i="20" a="1"/>
  <c r="AU80" i="7" a="1"/>
  <c r="BC51" i="8" a="1"/>
  <c r="BB61" i="8" a="1"/>
  <c r="BC46" i="8" a="1"/>
  <c r="BB50" i="8" a="1"/>
  <c r="AV45" i="20" a="1"/>
  <c r="AV68" i="20" a="1"/>
  <c r="AV106" i="20" a="1"/>
  <c r="AU71" i="7" a="1"/>
  <c r="AU100" i="7" a="1"/>
  <c r="AV43" i="20" a="1"/>
  <c r="AV41" i="20" a="1"/>
  <c r="AU105" i="7" a="1"/>
  <c r="AU95" i="7" a="1"/>
  <c r="AV105" i="20" a="1"/>
  <c r="AV53" i="20" a="1"/>
  <c r="AU108" i="7" a="1"/>
  <c r="AV67" i="20" a="1"/>
  <c r="BB43" i="8" a="1"/>
  <c r="AV76" i="20" a="1"/>
  <c r="AV89" i="20" a="1"/>
  <c r="AV110" i="20" a="1"/>
  <c r="AV79" i="20" a="1"/>
  <c r="AV109" i="20" a="1"/>
  <c r="AV70" i="20" a="1"/>
  <c r="AV80" i="20" a="1"/>
  <c r="AV90" i="20" a="1"/>
  <c r="AV101" i="20" a="1"/>
  <c r="AV27" i="7" a="1"/>
  <c r="AU92" i="7" a="1"/>
  <c r="AV48" i="20" a="1"/>
  <c r="BC57" i="8" a="1"/>
  <c r="AV35" i="20" a="1"/>
  <c r="AU104" i="7" a="1"/>
  <c r="BC91" i="8" a="1"/>
  <c r="AV39" i="7" a="1"/>
  <c r="AV55" i="7" a="1"/>
  <c r="BB108" i="8" a="1"/>
  <c r="AU89" i="7" a="1"/>
  <c r="AU96" i="7" a="1"/>
  <c r="AV86" i="20" a="1"/>
  <c r="BA103" i="8" a="1"/>
  <c r="BB24" i="8" a="1"/>
  <c r="AV26" i="20" a="1"/>
  <c r="AU106" i="7" a="1"/>
  <c r="AU90" i="7" a="1"/>
  <c r="BD52" i="8" a="1"/>
  <c r="AV38" i="20" a="1"/>
  <c r="BC82" i="8" a="1"/>
  <c r="BB21" i="8" a="1"/>
  <c r="AU79" i="7" a="1"/>
  <c r="AV25" i="20" a="1"/>
  <c r="AU73" i="7" a="1"/>
  <c r="AU75" i="7" a="1"/>
  <c r="AV33" i="20" a="1"/>
  <c r="AV59" i="20" a="1"/>
  <c r="AU76" i="7" a="1"/>
  <c r="BB96" i="8" a="1"/>
  <c r="BA76" i="8" a="1"/>
  <c r="AV62" i="7" a="1"/>
  <c r="BC95" i="8" a="1"/>
  <c r="AV56" i="7" a="1"/>
  <c r="BA69" i="8" a="1"/>
  <c r="AV24" i="20" a="1"/>
  <c r="AU67" i="7" a="1"/>
  <c r="AV21" i="20" a="1"/>
  <c r="AU64" i="7" a="1"/>
  <c r="BB80" i="8" a="1"/>
  <c r="AV34" i="7" a="1"/>
  <c r="AU99" i="7" a="1"/>
  <c r="AU110" i="7" a="1"/>
  <c r="BB103" i="8" a="1"/>
  <c r="BC58" i="8" a="1"/>
  <c r="AV84" i="20" a="1"/>
  <c r="AV35" i="7" a="1"/>
  <c r="BB48" i="8" a="1"/>
  <c r="AU72" i="7" a="1"/>
  <c r="AU93" i="7" a="1"/>
  <c r="BB56" i="8" a="1"/>
  <c r="BC34" i="8" a="1"/>
  <c r="BB100" i="8" a="1"/>
  <c r="AV49" i="20" a="1"/>
  <c r="AU107" i="7" a="1"/>
  <c r="BA48" i="8" a="1"/>
  <c r="AV60" i="20" a="1"/>
  <c r="AU91" i="7" a="1"/>
  <c r="BA89" i="8" a="1"/>
  <c r="AU94" i="7" a="1"/>
  <c r="BB33" i="8" a="1"/>
  <c r="AU87" i="7" a="1"/>
  <c r="AV55" i="20" a="1"/>
  <c r="BB92" i="8" a="1"/>
  <c r="AV54" i="7" a="1"/>
  <c r="AV102" i="20" a="1"/>
  <c r="BB75" i="8" a="1"/>
  <c r="BB40" i="8" a="1"/>
  <c r="BC63" i="8" a="1"/>
  <c r="AV47" i="7" a="1"/>
  <c r="BC42" i="8" a="1"/>
  <c r="AV54" i="20" a="1"/>
  <c r="AU69" i="7" a="1"/>
  <c r="BB69" i="8" a="1"/>
  <c r="AU81" i="7" a="1"/>
  <c r="AV52" i="7" a="1"/>
  <c r="AV37" i="7" a="1"/>
  <c r="AU78" i="7" a="1"/>
  <c r="AV94" i="20" a="1"/>
  <c r="BB34" i="8" a="1"/>
  <c r="AV97" i="20" a="1"/>
  <c r="AU85" i="7" a="1"/>
  <c r="AV50" i="7" a="1"/>
  <c r="AV93" i="20" a="1"/>
  <c r="AV32" i="20" a="1"/>
  <c r="BC87" i="8" a="1"/>
  <c r="AV75" i="20" a="1"/>
  <c r="BC99" i="8" a="1"/>
  <c r="BB68" i="8" a="1"/>
  <c r="AV74" i="20" a="1"/>
  <c r="BB110" i="8" a="1"/>
  <c r="AU103" i="7" a="1"/>
  <c r="AU68" i="7" a="1"/>
  <c r="BC77" i="8" a="1"/>
  <c r="AU86" i="7" a="1"/>
  <c r="BC25" i="8" a="1"/>
  <c r="AU98" i="7" a="1"/>
  <c r="AV69" i="20" a="1"/>
  <c r="BC107" i="8" a="1"/>
  <c r="AV65" i="20" a="1"/>
  <c r="AU74" i="7" a="1"/>
  <c r="AV103" i="20" a="1"/>
  <c r="BB53" i="8" a="1"/>
  <c r="BC71" i="8" a="1"/>
  <c r="AV48" i="7" a="1"/>
  <c r="AV23" i="20" a="1"/>
  <c r="AV59" i="7" a="1"/>
  <c r="AU66" i="7" a="1"/>
  <c r="AV31" i="7" a="1"/>
  <c r="BC53" i="8" a="1"/>
  <c r="BC20" i="8" a="1"/>
  <c r="AV50" i="20" a="1"/>
  <c r="AV62" i="20" a="1"/>
  <c r="AU97" i="7" a="1"/>
  <c r="AV36" i="7" a="1"/>
  <c r="AV85" i="20" a="1"/>
  <c r="AU65" i="7" a="1"/>
  <c r="AU83" i="7" a="1"/>
  <c r="BA67" i="8" a="1"/>
  <c r="AV61" i="20" a="1"/>
  <c r="BB83" i="8" a="1"/>
  <c r="BB62" i="8" a="1"/>
  <c r="BC26" i="8" a="1"/>
  <c r="BC39" i="8" a="1"/>
  <c r="AU70" i="7" a="1"/>
  <c r="AV56" i="20" a="1"/>
  <c r="BB66" i="8" a="1"/>
  <c r="AV44" i="7" a="1"/>
  <c r="AV58" i="20" a="1"/>
  <c r="AU77" i="7" a="1"/>
  <c r="AV98" i="20" a="1"/>
  <c r="BB59" i="8" a="1"/>
  <c r="AV45" i="7" a="1"/>
  <c r="BA70" i="8" a="1"/>
  <c r="AU102" i="7" a="1"/>
  <c r="BB53" i="8" l="1"/>
  <c r="BB61" i="8"/>
  <c r="BB83" i="8"/>
  <c r="AV23" i="20"/>
  <c r="AV33" i="20"/>
  <c r="AV44" i="20"/>
  <c r="AV54" i="20"/>
  <c r="AV61" i="20"/>
  <c r="AV70" i="20"/>
  <c r="AV81" i="20"/>
  <c r="AV93" i="20"/>
  <c r="AV105" i="20"/>
  <c r="AV24" i="20"/>
  <c r="AV35" i="20"/>
  <c r="AV45" i="20"/>
  <c r="AV55" i="20"/>
  <c r="AV62" i="20"/>
  <c r="AV74" i="20"/>
  <c r="AV84" i="20"/>
  <c r="AV94" i="20"/>
  <c r="AV106" i="20"/>
  <c r="AV25" i="20"/>
  <c r="AV37" i="20"/>
  <c r="AV48" i="20"/>
  <c r="AV56" i="20"/>
  <c r="AV65" i="20"/>
  <c r="AV75" i="20"/>
  <c r="AV85" i="20"/>
  <c r="AV97" i="20"/>
  <c r="AV109" i="20"/>
  <c r="AV26" i="20"/>
  <c r="AV38" i="20"/>
  <c r="AV49" i="20"/>
  <c r="AV58" i="20"/>
  <c r="AV67" i="20"/>
  <c r="AV76" i="20"/>
  <c r="AV86" i="20"/>
  <c r="AV98" i="20"/>
  <c r="AV110" i="20"/>
  <c r="AV103" i="20"/>
  <c r="AV41" i="20"/>
  <c r="AV50" i="20"/>
  <c r="AV59" i="20"/>
  <c r="AV68" i="20"/>
  <c r="AV79" i="20"/>
  <c r="AV89" i="20"/>
  <c r="AV101" i="20"/>
  <c r="AV21" i="20"/>
  <c r="AV32" i="20"/>
  <c r="AV43" i="20"/>
  <c r="AV53" i="20"/>
  <c r="AV60" i="20"/>
  <c r="AV69" i="20"/>
  <c r="AV80" i="20"/>
  <c r="AV90" i="20"/>
  <c r="AV102" i="20"/>
  <c r="BA103" i="8"/>
  <c r="BA76" i="8"/>
  <c r="BB56" i="8"/>
  <c r="BB73" i="8"/>
  <c r="BB24" i="8"/>
  <c r="BB96" i="8"/>
  <c r="BA70" i="8"/>
  <c r="BB34" i="8"/>
  <c r="BA90" i="8"/>
  <c r="BB40" i="8"/>
  <c r="BB100" i="8"/>
  <c r="P16" i="10"/>
  <c r="S16" i="10" s="1"/>
  <c r="BA69" i="8"/>
  <c r="BB72" i="8"/>
  <c r="Q18" i="10"/>
  <c r="Q22" i="10"/>
  <c r="Q23" i="10"/>
  <c r="Q20" i="10"/>
  <c r="BA67" i="8"/>
  <c r="BB66" i="8"/>
  <c r="BB47" i="8"/>
  <c r="BA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BB59" i="8"/>
  <c r="BB62" i="8"/>
  <c r="BA48" i="8"/>
  <c r="BB21" i="8"/>
  <c r="BB108" i="8"/>
  <c r="BC20" i="8"/>
  <c r="BB92" i="8"/>
  <c r="F88" i="9"/>
  <c r="AD109" i="4"/>
  <c r="G45" i="13" s="1" a="1"/>
  <c r="G45" i="13" s="1"/>
  <c r="AD108" i="4"/>
  <c r="G47" i="13" s="1" a="1"/>
  <c r="G47" i="13" s="1"/>
  <c r="AP109" i="4"/>
  <c r="U45" i="13" s="1" a="1"/>
  <c r="U45" i="13" s="1"/>
  <c r="AP108" i="4"/>
  <c r="U47" i="13" s="1" a="1"/>
  <c r="U47" i="13" s="1"/>
  <c r="L121" i="4"/>
  <c r="Q121" i="4" s="1"/>
  <c r="P121" i="4"/>
  <c r="AP28" i="8" a="1"/>
  <c r="AP28" i="8" s="1"/>
  <c r="AD71" i="4"/>
  <c r="G33" i="13" s="1" a="1"/>
  <c r="G33" i="13" s="1"/>
  <c r="AP29" i="8" a="1"/>
  <c r="AP29" i="8" s="1"/>
  <c r="AD70" i="4"/>
  <c r="G32" i="13" s="1" a="1"/>
  <c r="G32" i="13" s="1"/>
  <c r="BC107" i="8"/>
  <c r="BC87" i="8"/>
  <c r="BC34" i="8"/>
  <c r="BB75" i="8"/>
  <c r="BC57" i="8"/>
  <c r="BB50" i="8"/>
  <c r="BB68" i="8"/>
  <c r="BC26" i="8"/>
  <c r="BC42" i="8"/>
  <c r="BC51" i="8"/>
  <c r="BB80" i="8"/>
  <c r="BB48" i="8"/>
  <c r="BC46" i="8"/>
  <c r="BC58" i="8"/>
  <c r="BB110" i="8"/>
  <c r="BC71" i="8"/>
  <c r="BC95" i="8"/>
  <c r="BC25" i="8"/>
  <c r="BC63" i="8"/>
  <c r="BB103" i="8"/>
  <c r="BC91" i="8"/>
  <c r="BC77" i="8"/>
  <c r="BB43" i="8"/>
  <c r="BC39" i="8"/>
  <c r="BC82" i="8"/>
  <c r="BB33" i="8"/>
  <c r="BC99" i="8"/>
  <c r="BB69" i="8"/>
  <c r="BC53" i="8"/>
  <c r="AO109" i="8" a="1"/>
  <c r="AO109" i="8" s="1"/>
  <c r="AD101" i="4" s="1"/>
  <c r="G101" i="13" s="1" a="1"/>
  <c r="G101" i="13" s="1"/>
  <c r="AP107" i="8" a="1"/>
  <c r="AP107" i="8" s="1"/>
  <c r="AO94" i="8" a="1"/>
  <c r="AO94" i="8" s="1"/>
  <c r="AD86" i="4" s="1"/>
  <c r="G86" i="13" s="1" a="1"/>
  <c r="G86" i="13" s="1"/>
  <c r="AO41" i="8" a="1"/>
  <c r="AO41" i="8" s="1"/>
  <c r="AD113" i="4" s="1"/>
  <c r="G50" i="13" s="1" a="1"/>
  <c r="G50" i="13" s="1"/>
  <c r="AP40" i="8" a="1"/>
  <c r="AP40" i="8" s="1"/>
  <c r="AE110" i="4" s="1"/>
  <c r="H46" i="13" s="1" a="1"/>
  <c r="H46" i="13" s="1"/>
  <c r="AO84" i="8" a="1"/>
  <c r="AO84" i="8" s="1"/>
  <c r="AD93" i="4" s="1"/>
  <c r="G93" i="13" s="1" a="1"/>
  <c r="G93" i="13" s="1"/>
  <c r="AO37" i="8" a="1"/>
  <c r="AO37" i="8" s="1"/>
  <c r="AD120" i="4" s="1"/>
  <c r="G23" i="13" s="1" a="1"/>
  <c r="G23" i="13" s="1"/>
  <c r="AP87" i="8" a="1"/>
  <c r="AP87" i="8" s="1"/>
  <c r="AP34" i="8" a="1"/>
  <c r="AP34" i="8" s="1"/>
  <c r="AE116" i="4" s="1"/>
  <c r="H18" i="13" s="1" a="1"/>
  <c r="H18" i="13" s="1"/>
  <c r="AP66" i="8" a="1"/>
  <c r="AP66" i="8" s="1"/>
  <c r="AE102" i="4" s="1"/>
  <c r="H65" i="13" s="1" a="1"/>
  <c r="H65" i="13" s="1"/>
  <c r="AO74" i="8" a="1"/>
  <c r="AO74" i="8" s="1"/>
  <c r="AD91" i="4" s="1"/>
  <c r="G91" i="13" s="1" a="1"/>
  <c r="G91" i="13" s="1"/>
  <c r="AO75" i="8" a="1"/>
  <c r="AO75" i="8" s="1"/>
  <c r="AP57" i="8" a="1"/>
  <c r="AP57" i="8" s="1"/>
  <c r="AO49" i="8" a="1"/>
  <c r="AO49" i="8" s="1"/>
  <c r="AD124" i="4" s="1"/>
  <c r="G37" i="13" s="1" a="1"/>
  <c r="G37" i="13" s="1"/>
  <c r="AP92" i="8" a="1"/>
  <c r="AP92" i="8" s="1"/>
  <c r="AE77" i="4" s="1"/>
  <c r="H77" i="13" s="1" a="1"/>
  <c r="H77" i="13" s="1"/>
  <c r="AP73" i="8" a="1"/>
  <c r="AP73" i="8" s="1"/>
  <c r="AE73" i="4" s="1"/>
  <c r="AO50" i="8" a="1"/>
  <c r="AO50" i="8" s="1"/>
  <c r="AO68" i="8" a="1"/>
  <c r="AO68" i="8" s="1"/>
  <c r="AD107" i="4" s="1"/>
  <c r="G70" i="13" s="1" a="1"/>
  <c r="G70" i="13" s="1"/>
  <c r="AP72" i="8" a="1"/>
  <c r="AP72" i="8" s="1"/>
  <c r="AE72" i="4" s="1"/>
  <c r="H72" i="13" s="1" a="1"/>
  <c r="H72" i="13" s="1"/>
  <c r="H73" i="13" s="1"/>
  <c r="AP26" i="8" a="1"/>
  <c r="AP26" i="8" s="1"/>
  <c r="AP61" i="8" a="1"/>
  <c r="AP61" i="8" s="1"/>
  <c r="AE129" i="4" s="1"/>
  <c r="H56" i="13" s="1" a="1"/>
  <c r="H56" i="13" s="1"/>
  <c r="AO67" i="8" a="1"/>
  <c r="AO67" i="8" s="1"/>
  <c r="AD103" i="4" s="1"/>
  <c r="G66" i="13" s="1" a="1"/>
  <c r="G66" i="13" s="1"/>
  <c r="AO93" i="8" a="1"/>
  <c r="AO93" i="8" s="1"/>
  <c r="AD97" i="4" s="1"/>
  <c r="G97" i="13" s="1" a="1"/>
  <c r="G97" i="13" s="1"/>
  <c r="AO35" i="8" a="1"/>
  <c r="AO35" i="8" s="1"/>
  <c r="AD115" i="4" s="1"/>
  <c r="G20" i="13" s="1" a="1"/>
  <c r="G20" i="13" s="1"/>
  <c r="AO90" i="8" a="1"/>
  <c r="AO90" i="8" s="1"/>
  <c r="AD85" i="4" s="1"/>
  <c r="G85" i="13" s="1" a="1"/>
  <c r="G85" i="13" s="1"/>
  <c r="AP88" i="8" a="1"/>
  <c r="AP88" i="8" s="1"/>
  <c r="AE76" i="4" s="1"/>
  <c r="H76" i="13" s="1" a="1"/>
  <c r="H76" i="13" s="1"/>
  <c r="AP108" i="8" a="1"/>
  <c r="AP108" i="8" s="1"/>
  <c r="AE81" i="4" s="1"/>
  <c r="H81" i="13" s="1" a="1"/>
  <c r="H81" i="13" s="1"/>
  <c r="AO76" i="8" a="1"/>
  <c r="AO76" i="8" s="1"/>
  <c r="AD82" i="4" s="1"/>
  <c r="G82" i="13" s="1" a="1"/>
  <c r="G82" i="13" s="1"/>
  <c r="AP42" i="8" a="1"/>
  <c r="AP42" i="8" s="1"/>
  <c r="AO32" i="8" a="1"/>
  <c r="AO32" i="8" s="1"/>
  <c r="AD117" i="4" s="1"/>
  <c r="G21" i="13" s="1" a="1"/>
  <c r="G21" i="13" s="1"/>
  <c r="AO97" i="8" a="1"/>
  <c r="AO97" i="8" s="1"/>
  <c r="AD98" i="4" s="1"/>
  <c r="G98" i="13" s="1" a="1"/>
  <c r="G98" i="13" s="1"/>
  <c r="AP60" i="8" a="1"/>
  <c r="AP60" i="8" s="1"/>
  <c r="AE127" i="4" s="1"/>
  <c r="H55" i="13" s="1" a="1"/>
  <c r="H55" i="13" s="1"/>
  <c r="AO65" i="8" a="1"/>
  <c r="AO65" i="8" s="1"/>
  <c r="AD105" i="4" s="1"/>
  <c r="G68" i="13" s="1" a="1"/>
  <c r="G68" i="13" s="1"/>
  <c r="AP62" i="8" a="1"/>
  <c r="AP62" i="8" s="1"/>
  <c r="AE126" i="4" s="1"/>
  <c r="H54" i="13" s="1" a="1"/>
  <c r="H54" i="13" s="1"/>
  <c r="AP36" i="8" a="1"/>
  <c r="AP36" i="8" s="1"/>
  <c r="AE122" i="4" s="1"/>
  <c r="H25" i="13" s="1" a="1"/>
  <c r="H25" i="13" s="1"/>
  <c r="AP78" i="8" a="1"/>
  <c r="AP78" i="8" s="1"/>
  <c r="AE74" i="4" s="1"/>
  <c r="H74" i="13" s="1" a="1"/>
  <c r="H74" i="13" s="1"/>
  <c r="AP51" i="8" a="1"/>
  <c r="AP51" i="8" s="1"/>
  <c r="AP31" i="8" a="1"/>
  <c r="AP31" i="8" s="1"/>
  <c r="AE118" i="4" s="1"/>
  <c r="H19" i="13" s="1" a="1"/>
  <c r="H19" i="13" s="1"/>
  <c r="AO98" i="8" a="1"/>
  <c r="AO98" i="8" s="1"/>
  <c r="AD87" i="4" s="1"/>
  <c r="G87" i="13" s="1" a="1"/>
  <c r="G87" i="13" s="1"/>
  <c r="AP96" i="8" a="1"/>
  <c r="AP96" i="8" s="1"/>
  <c r="AE78" i="4" s="1"/>
  <c r="H78" i="13" s="1" a="1"/>
  <c r="H78" i="13" s="1"/>
  <c r="AP64" i="8" a="1"/>
  <c r="AP64" i="8" s="1"/>
  <c r="AE104" i="4" s="1"/>
  <c r="H67" i="13" s="1" a="1"/>
  <c r="H67" i="13" s="1"/>
  <c r="AP54" i="8" a="1"/>
  <c r="AP54" i="8" s="1"/>
  <c r="AE63" i="4" s="1"/>
  <c r="H43" i="13" s="1" a="1"/>
  <c r="H43" i="13" s="1"/>
  <c r="AO80" i="8" a="1"/>
  <c r="AO80" i="8" s="1"/>
  <c r="AD94" i="4" s="1"/>
  <c r="G94" i="13" s="1" a="1"/>
  <c r="G94" i="13" s="1"/>
  <c r="AO81" i="8" a="1"/>
  <c r="AO81" i="8" s="1"/>
  <c r="AD83" i="4" s="1"/>
  <c r="G83" i="13" s="1" a="1"/>
  <c r="G83" i="13" s="1"/>
  <c r="AP100" i="8" a="1"/>
  <c r="AP100" i="8" s="1"/>
  <c r="AE79" i="4" s="1"/>
  <c r="H79" i="13" s="1" a="1"/>
  <c r="H79" i="13" s="1"/>
  <c r="AP59" i="8" a="1"/>
  <c r="AP59" i="8" s="1"/>
  <c r="AE128" i="4" s="1"/>
  <c r="H57" i="13" s="1" a="1"/>
  <c r="H57" i="13" s="1"/>
  <c r="AO48" i="8" a="1"/>
  <c r="AO48" i="8" s="1"/>
  <c r="AP46" i="8" a="1"/>
  <c r="AP46" i="8" s="1"/>
  <c r="AO106" i="8" a="1"/>
  <c r="AO106" i="8" s="1"/>
  <c r="AD89" i="4" s="1"/>
  <c r="G89" i="13" s="1" a="1"/>
  <c r="G89" i="13" s="1"/>
  <c r="AD125" i="4"/>
  <c r="G53" i="13" s="1" a="1"/>
  <c r="G53" i="13" s="1"/>
  <c r="AP58" i="8" a="1"/>
  <c r="AP58" i="8" s="1"/>
  <c r="AO110" i="8" a="1"/>
  <c r="AO110" i="8" s="1"/>
  <c r="AD90" i="4" s="1"/>
  <c r="G90" i="13" s="1" a="1"/>
  <c r="G90" i="13" s="1"/>
  <c r="AS20" i="8"/>
  <c r="AV20" i="8"/>
  <c r="AP71" i="8" a="1"/>
  <c r="AP71" i="8" s="1"/>
  <c r="AP95" i="8" a="1"/>
  <c r="AP95" i="8" s="1"/>
  <c r="AP25" i="8" a="1"/>
  <c r="AP25" i="8" s="1"/>
  <c r="AO89" i="8" a="1"/>
  <c r="AO89" i="8" s="1"/>
  <c r="AD96" i="4" s="1"/>
  <c r="G96" i="13" s="1" a="1"/>
  <c r="G96" i="13" s="1"/>
  <c r="AO44" i="8" a="1"/>
  <c r="AO44" i="8" s="1"/>
  <c r="AD112" i="4" s="1"/>
  <c r="G49" i="13" s="1" a="1"/>
  <c r="G49" i="13" s="1"/>
  <c r="AP23" i="8" a="1"/>
  <c r="AP23" i="8" s="1"/>
  <c r="AE66" i="4" s="1"/>
  <c r="H30" i="13" s="1" a="1"/>
  <c r="H30" i="13" s="1"/>
  <c r="AO101" i="8" a="1"/>
  <c r="AO101" i="8" s="1"/>
  <c r="AD99" i="4" s="1"/>
  <c r="G99" i="13" s="1" a="1"/>
  <c r="G99" i="13" s="1"/>
  <c r="AP63" i="8" a="1"/>
  <c r="AP63" i="8" s="1"/>
  <c r="AO105" i="8" a="1"/>
  <c r="AO105" i="8" s="1"/>
  <c r="AD100" i="4" s="1"/>
  <c r="G100" i="13" s="1" a="1"/>
  <c r="G100" i="13" s="1"/>
  <c r="AP24" i="8" a="1"/>
  <c r="AP24" i="8" s="1"/>
  <c r="AE64" i="4" s="1"/>
  <c r="H29" i="13" s="1" a="1"/>
  <c r="H29" i="13" s="1"/>
  <c r="AO70" i="8" a="1"/>
  <c r="AO70" i="8" s="1"/>
  <c r="AD106" i="4" s="1"/>
  <c r="G69" i="13" s="1" a="1"/>
  <c r="G69" i="13" s="1"/>
  <c r="AO86" i="8" a="1"/>
  <c r="AO86" i="8" s="1"/>
  <c r="AD84" i="4" s="1"/>
  <c r="G84" i="13" s="1" a="1"/>
  <c r="G84" i="13" s="1"/>
  <c r="AO103" i="8" a="1"/>
  <c r="AO103" i="8" s="1"/>
  <c r="AP91" i="8" a="1"/>
  <c r="AP91" i="8" s="1"/>
  <c r="AP77" i="8" a="1"/>
  <c r="AP77" i="8" s="1"/>
  <c r="AO43" i="8" a="1"/>
  <c r="AO43" i="8" s="1"/>
  <c r="AD114" i="4" s="1"/>
  <c r="G51" i="13" s="1" a="1"/>
  <c r="G51" i="13" s="1"/>
  <c r="AP39" i="8" a="1"/>
  <c r="AP39" i="8" s="1"/>
  <c r="AO79" i="8" a="1"/>
  <c r="AO79" i="8" s="1"/>
  <c r="AD92" i="4" s="1"/>
  <c r="G92" i="13" s="1" a="1"/>
  <c r="G92" i="13" s="1"/>
  <c r="AP104" i="8" a="1"/>
  <c r="AP104" i="8" s="1"/>
  <c r="AE80" i="4" s="1"/>
  <c r="H80" i="13" s="1" a="1"/>
  <c r="H80" i="13" s="1"/>
  <c r="AP82" i="8" a="1"/>
  <c r="AP82" i="8" s="1"/>
  <c r="AO85" i="8" a="1"/>
  <c r="AO85" i="8" s="1"/>
  <c r="AD95" i="4" s="1"/>
  <c r="G95" i="13" s="1" a="1"/>
  <c r="G95" i="13" s="1"/>
  <c r="AO33" i="8" a="1"/>
  <c r="AO33" i="8" s="1"/>
  <c r="AD121" i="4" s="1"/>
  <c r="G24" i="13" s="1" a="1"/>
  <c r="G24" i="13" s="1"/>
  <c r="AO38" i="8" a="1"/>
  <c r="AO38" i="8" s="1"/>
  <c r="AD119" i="4" s="1"/>
  <c r="G22" i="13" s="1" a="1"/>
  <c r="G22" i="13" s="1"/>
  <c r="AP55" i="8" a="1"/>
  <c r="AP55" i="8" s="1"/>
  <c r="AE61" i="4" s="1"/>
  <c r="H41" i="13" s="1" a="1"/>
  <c r="H41" i="13" s="1"/>
  <c r="AP56" i="8" a="1"/>
  <c r="AP56" i="8" s="1"/>
  <c r="AE60" i="4" s="1"/>
  <c r="H40" i="13" s="1" a="1"/>
  <c r="H40" i="13" s="1"/>
  <c r="AO102" i="8" a="1"/>
  <c r="AO102" i="8" s="1"/>
  <c r="AD88" i="4" s="1"/>
  <c r="G88" i="13" s="1" a="1"/>
  <c r="G88" i="13" s="1"/>
  <c r="AP21" i="8" a="1"/>
  <c r="AP21" i="8" s="1"/>
  <c r="AE68" i="4" s="1"/>
  <c r="H34" i="13" s="1" a="1"/>
  <c r="H34" i="13" s="1"/>
  <c r="AP99" i="8" a="1"/>
  <c r="AP99" i="8" s="1"/>
  <c r="AO45" i="8" a="1"/>
  <c r="AO45" i="8" s="1"/>
  <c r="AD111" i="4" s="1"/>
  <c r="G48" i="13" s="1" a="1"/>
  <c r="G48" i="13" s="1"/>
  <c r="AP47" i="8" a="1"/>
  <c r="AP47" i="8" s="1"/>
  <c r="AE123" i="4" s="1"/>
  <c r="H36" i="13" s="1" a="1"/>
  <c r="H36" i="13" s="1"/>
  <c r="AP83" i="8" a="1"/>
  <c r="AP83" i="8" s="1"/>
  <c r="AE75" i="4" s="1"/>
  <c r="H75" i="13" s="1" a="1"/>
  <c r="H75" i="13" s="1"/>
  <c r="AO69" i="8" a="1"/>
  <c r="AO69" i="8" s="1"/>
  <c r="AP53" i="8" a="1"/>
  <c r="AP53" i="8" s="1"/>
  <c r="AE62" i="4" s="1"/>
  <c r="H42" i="13" s="1" a="1"/>
  <c r="H42" i="13" s="1"/>
  <c r="AU107" i="7"/>
  <c r="AU74" i="7"/>
  <c r="AV39" i="7"/>
  <c r="AU67" i="7"/>
  <c r="BD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AH116" i="8"/>
  <c r="AK100" i="7"/>
  <c r="AK89" i="7"/>
  <c r="AK91" i="7"/>
  <c r="AK81" i="7"/>
  <c r="AK66" i="7"/>
  <c r="AK109" i="7"/>
  <c r="AK85" i="7"/>
  <c r="AK104" i="7"/>
  <c r="AK64" i="7"/>
  <c r="AK88" i="7"/>
  <c r="AK86" i="7"/>
  <c r="AK101" i="7"/>
  <c r="AK95" i="7"/>
  <c r="AK82" i="7"/>
  <c r="AK70" i="7"/>
  <c r="AK92" i="7"/>
  <c r="AK110" i="7"/>
  <c r="AK97" i="7"/>
  <c r="AQ78" i="4"/>
  <c r="V78" i="13" s="1" a="1"/>
  <c r="V78" i="13" s="1"/>
  <c r="AQ90" i="4"/>
  <c r="V90" i="13" s="1" a="1"/>
  <c r="V90" i="13" s="1"/>
  <c r="AQ89" i="4"/>
  <c r="V89" i="13" s="1" a="1"/>
  <c r="V89" i="13" s="1"/>
  <c r="AQ99" i="4"/>
  <c r="V99" i="13" s="1" a="1"/>
  <c r="V99" i="13" s="1"/>
  <c r="AQ87" i="4"/>
  <c r="V87" i="13" s="1" a="1"/>
  <c r="V87" i="13" s="1"/>
  <c r="AQ97" i="4"/>
  <c r="V97" i="13" s="1" a="1"/>
  <c r="V97" i="13" s="1"/>
  <c r="AQ96" i="4"/>
  <c r="V96" i="13" s="1" a="1"/>
  <c r="V96" i="13" s="1"/>
  <c r="AQ84" i="4"/>
  <c r="V84" i="13" s="1" a="1"/>
  <c r="V84" i="13" s="1"/>
  <c r="AQ100" i="4"/>
  <c r="V100" i="13" s="1" a="1"/>
  <c r="V100" i="13" s="1"/>
  <c r="AQ91" i="4"/>
  <c r="V91" i="13" s="1" a="1"/>
  <c r="V91" i="13" s="1"/>
  <c r="AQ88" i="4"/>
  <c r="V88" i="13" s="1" a="1"/>
  <c r="V88" i="13" s="1"/>
  <c r="AQ80" i="4"/>
  <c r="V80" i="13" s="1" a="1"/>
  <c r="V80" i="13" s="1"/>
  <c r="AQ77" i="4"/>
  <c r="V77" i="13" s="1" a="1"/>
  <c r="V77" i="13" s="1"/>
  <c r="AQ85" i="4"/>
  <c r="V85" i="13" s="1" a="1"/>
  <c r="V85" i="13" s="1"/>
  <c r="AQ76" i="4"/>
  <c r="V76" i="13" s="1" a="1"/>
  <c r="V76" i="13" s="1"/>
  <c r="AQ95" i="4"/>
  <c r="V95" i="13" s="1" a="1"/>
  <c r="V95" i="13" s="1"/>
  <c r="AQ82" i="4"/>
  <c r="V82" i="13" s="1" a="1"/>
  <c r="V82" i="13" s="1"/>
  <c r="AQ81" i="4"/>
  <c r="V81" i="13" s="1" a="1"/>
  <c r="V81" i="13" s="1"/>
  <c r="AQ83" i="4"/>
  <c r="V83" i="13" s="1" a="1"/>
  <c r="V83" i="13" s="1"/>
  <c r="AQ86" i="4"/>
  <c r="V86" i="13" s="1" a="1"/>
  <c r="V86" i="13" s="1"/>
  <c r="AQ101" i="4"/>
  <c r="V101" i="13" s="1" a="1"/>
  <c r="V101" i="13" s="1"/>
  <c r="AQ107" i="4"/>
  <c r="V70" i="13" s="1" a="1"/>
  <c r="V70" i="13" s="1"/>
  <c r="AQ105" i="4"/>
  <c r="V68" i="13" s="1" a="1"/>
  <c r="V68" i="13" s="1"/>
  <c r="AQ92" i="4"/>
  <c r="V92" i="13" s="1" a="1"/>
  <c r="V92" i="13" s="1"/>
  <c r="AQ129" i="4"/>
  <c r="V56" i="13" s="1" a="1"/>
  <c r="V56" i="13" s="1"/>
  <c r="AQ73" i="4"/>
  <c r="V73" i="13" s="1" a="1"/>
  <c r="V73" i="13" s="1"/>
  <c r="AQ75" i="4"/>
  <c r="V75" i="13" s="1" a="1"/>
  <c r="V75" i="13" s="1"/>
  <c r="AQ103" i="4"/>
  <c r="V66" i="13" s="1" a="1"/>
  <c r="V66" i="13" s="1"/>
  <c r="AQ127" i="4"/>
  <c r="V55" i="13" s="1" a="1"/>
  <c r="V55" i="13" s="1"/>
  <c r="AQ94" i="4"/>
  <c r="V94" i="13" s="1" a="1"/>
  <c r="V94" i="13" s="1"/>
  <c r="AQ128" i="4"/>
  <c r="V57" i="13" s="1" a="1"/>
  <c r="V57" i="13" s="1"/>
  <c r="AQ125" i="4"/>
  <c r="V53" i="13" s="1" a="1"/>
  <c r="V53" i="13" s="1"/>
  <c r="AQ93" i="4"/>
  <c r="V93" i="13" s="1" a="1"/>
  <c r="V93" i="13" s="1"/>
  <c r="AQ104" i="4"/>
  <c r="V67" i="13" s="1" a="1"/>
  <c r="V67" i="13" s="1"/>
  <c r="AQ111" i="4"/>
  <c r="V48" i="13" s="1" a="1"/>
  <c r="V48" i="13" s="1"/>
  <c r="AQ98" i="4"/>
  <c r="V98" i="13" s="1" a="1"/>
  <c r="V98" i="13" s="1"/>
  <c r="AQ126" i="4"/>
  <c r="V54" i="13" s="1" a="1"/>
  <c r="V54" i="13" s="1"/>
  <c r="AQ60" i="4"/>
  <c r="V40" i="13" s="1" a="1"/>
  <c r="V40" i="13" s="1"/>
  <c r="AQ112" i="4"/>
  <c r="V49" i="13" s="1" a="1"/>
  <c r="V49" i="13" s="1"/>
  <c r="AQ79" i="4"/>
  <c r="V79" i="13" s="1" a="1"/>
  <c r="V79" i="13" s="1"/>
  <c r="AQ106" i="4"/>
  <c r="V69" i="13" s="1" a="1"/>
  <c r="V69" i="13" s="1"/>
  <c r="AQ113" i="4"/>
  <c r="V50" i="13" s="1" a="1"/>
  <c r="V50" i="13" s="1"/>
  <c r="AQ74" i="4"/>
  <c r="V74" i="13" s="1" a="1"/>
  <c r="V74" i="13" s="1"/>
  <c r="AQ124" i="4"/>
  <c r="V37" i="13" s="1" a="1"/>
  <c r="V37" i="13" s="1"/>
  <c r="AQ119" i="4"/>
  <c r="V22" i="13" s="1" a="1"/>
  <c r="V22" i="13" s="1"/>
  <c r="AQ117" i="4"/>
  <c r="V21" i="13" s="1" a="1"/>
  <c r="V21" i="13" s="1"/>
  <c r="AQ72" i="4"/>
  <c r="V72" i="13" s="1" a="1"/>
  <c r="V72" i="13" s="1"/>
  <c r="AQ67" i="4"/>
  <c r="V28" i="13" s="1" a="1"/>
  <c r="V28" i="13" s="1"/>
  <c r="AQ59" i="4"/>
  <c r="V39" i="13" s="1" a="1"/>
  <c r="V39" i="13" s="1"/>
  <c r="AQ114" i="4"/>
  <c r="V51" i="13" s="1" a="1"/>
  <c r="V51" i="13" s="1"/>
  <c r="AQ120" i="4"/>
  <c r="V23" i="13" s="1" a="1"/>
  <c r="V23" i="13" s="1"/>
  <c r="AQ118" i="4"/>
  <c r="V19" i="13" s="1" a="1"/>
  <c r="V19" i="13" s="1"/>
  <c r="AQ71" i="4"/>
  <c r="V33" i="13" s="1" a="1"/>
  <c r="V33" i="13" s="1"/>
  <c r="AQ115" i="4"/>
  <c r="V20" i="13" s="1" a="1"/>
  <c r="V20" i="13" s="1"/>
  <c r="AQ102" i="4"/>
  <c r="V65" i="13" s="1" a="1"/>
  <c r="V65" i="13" s="1"/>
  <c r="AQ61" i="4"/>
  <c r="V41" i="13" s="1" a="1"/>
  <c r="V41" i="13" s="1"/>
  <c r="AQ123" i="4"/>
  <c r="V36" i="13" s="1" a="1"/>
  <c r="V36" i="13" s="1"/>
  <c r="AQ110" i="4"/>
  <c r="V46" i="13" s="1" a="1"/>
  <c r="V46" i="13" s="1"/>
  <c r="AQ116" i="4"/>
  <c r="V18" i="13" s="1" a="1"/>
  <c r="V18" i="13" s="1"/>
  <c r="AQ65" i="4"/>
  <c r="V27" i="13" s="1" a="1"/>
  <c r="V27" i="13" s="1"/>
  <c r="AQ62" i="4"/>
  <c r="V42" i="13" s="1" a="1"/>
  <c r="V42" i="13" s="1"/>
  <c r="AQ63" i="4"/>
  <c r="V43" i="13" s="1" a="1"/>
  <c r="V43" i="13" s="1"/>
  <c r="AQ66" i="4"/>
  <c r="V30" i="13" s="1" a="1"/>
  <c r="V30" i="13" s="1"/>
  <c r="AQ64" i="4"/>
  <c r="V29" i="13" s="1" a="1"/>
  <c r="V29" i="13" s="1"/>
  <c r="AQ122" i="4"/>
  <c r="V25" i="13" s="1" a="1"/>
  <c r="V25" i="13" s="1"/>
  <c r="AQ70" i="4"/>
  <c r="V32" i="13" s="1" a="1"/>
  <c r="V32" i="13" s="1"/>
  <c r="AQ68" i="4"/>
  <c r="V34" i="13" s="1" a="1"/>
  <c r="V34" i="13" s="1"/>
  <c r="AQ121" i="4"/>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BC74" i="8" a="1"/>
  <c r="BD91" i="8" a="1"/>
  <c r="AV67" i="7" a="1"/>
  <c r="BB49" i="8" a="1"/>
  <c r="AV78" i="7" a="1"/>
  <c r="BC75" i="8" a="1"/>
  <c r="BD42" i="8" a="1"/>
  <c r="BC78" i="8" a="1"/>
  <c r="AV66" i="7" a="1"/>
  <c r="AV104" i="7" a="1"/>
  <c r="BC88" i="8" a="1"/>
  <c r="BC55" i="8" a="1"/>
  <c r="AV86" i="7" a="1"/>
  <c r="AV84" i="7" a="1"/>
  <c r="BC73" i="8" a="1"/>
  <c r="BB65" i="8" a="1"/>
  <c r="BB105" i="8" a="1"/>
  <c r="BC96" i="8" a="1"/>
  <c r="BD95" i="8" a="1"/>
  <c r="AV68" i="7" a="1"/>
  <c r="AV92" i="7" a="1"/>
  <c r="BB106" i="8" a="1"/>
  <c r="AV83" i="7" a="1"/>
  <c r="AV65" i="7" a="1"/>
  <c r="BB67" i="8" a="1"/>
  <c r="BB76" i="8" a="1"/>
  <c r="BB70" i="8" a="1"/>
  <c r="BD63" i="8" a="1"/>
  <c r="BD99" i="8" a="1"/>
  <c r="AV73" i="7" a="1"/>
  <c r="BB89" i="8" a="1"/>
  <c r="BC89" i="8" a="1"/>
  <c r="BC98" i="8" a="1"/>
  <c r="BD87" i="8" a="1"/>
  <c r="AV109" i="7" a="1"/>
  <c r="BC56" i="8" a="1"/>
  <c r="BD23" i="8" a="1"/>
  <c r="BC47" i="8" a="1"/>
  <c r="BC93" i="8" a="1"/>
  <c r="BB97" i="8" a="1"/>
  <c r="AV89" i="7" a="1"/>
  <c r="BD59" i="8" a="1"/>
  <c r="BB85" i="8" a="1"/>
  <c r="BD58" i="8" a="1"/>
  <c r="BD54" i="8" a="1"/>
  <c r="AV80" i="7" a="1"/>
  <c r="BB45" i="8" a="1"/>
  <c r="BC24" i="8" a="1"/>
  <c r="AV87" i="7" a="1"/>
  <c r="BC84" i="8" a="1"/>
  <c r="BD78" i="8" a="1"/>
  <c r="BC67" i="8" a="1"/>
  <c r="BD25" i="8" a="1"/>
  <c r="AV69" i="7" a="1"/>
  <c r="BC72" i="8" a="1"/>
  <c r="BC69" i="8" a="1"/>
  <c r="AV96" i="7" a="1"/>
  <c r="BD64" i="8" a="1"/>
  <c r="AV97" i="7" a="1"/>
  <c r="BB44" i="8" a="1"/>
  <c r="AV75" i="7" a="1"/>
  <c r="BB35" i="8" a="1"/>
  <c r="AV101" i="7" a="1"/>
  <c r="BD36" i="8" a="1"/>
  <c r="BC108" i="8" a="1"/>
  <c r="AV82" i="7" a="1"/>
  <c r="BB38" i="8" a="1"/>
  <c r="BC33" i="8" a="1"/>
  <c r="BC38" i="8" a="1"/>
  <c r="BC61" i="8" a="1"/>
  <c r="BC60" i="8" a="1"/>
  <c r="BB93" i="8" a="1"/>
  <c r="BB41" i="8" a="1"/>
  <c r="BB98" i="8" a="1"/>
  <c r="BB79" i="8" a="1"/>
  <c r="AV94" i="7" a="1"/>
  <c r="AV106" i="7" a="1"/>
  <c r="BC54" i="8" a="1"/>
  <c r="BC36" i="8" a="1"/>
  <c r="BC103" i="8" a="1"/>
  <c r="AV91" i="7" a="1"/>
  <c r="AV64" i="7" a="1"/>
  <c r="BC66" i="8" a="1"/>
  <c r="AV93" i="7" a="1"/>
  <c r="BD40" i="8" a="1"/>
  <c r="BD62" i="8" a="1"/>
  <c r="AV77" i="7" a="1"/>
  <c r="BC70" i="8" a="1"/>
  <c r="BD100" i="8" a="1"/>
  <c r="BC104" i="8" a="1"/>
  <c r="AV85" i="7" a="1"/>
  <c r="BC62" i="8" a="1"/>
  <c r="BC45" i="8" a="1"/>
  <c r="AV103" i="7" a="1"/>
  <c r="BB37" i="8" a="1"/>
  <c r="BB84" i="8" a="1"/>
  <c r="BC21" i="8" a="1"/>
  <c r="BC59" i="8" a="1"/>
  <c r="BB94" i="8" a="1"/>
  <c r="BC23" i="8" a="1"/>
  <c r="AV110" i="7" a="1"/>
  <c r="AV72" i="7" a="1"/>
  <c r="AV108" i="7" a="1"/>
  <c r="AV95" i="7" a="1"/>
  <c r="BD66" i="8" a="1"/>
  <c r="AV99" i="7" a="1"/>
  <c r="BC50" i="8" a="1"/>
  <c r="BB32" i="8" a="1"/>
  <c r="AV76" i="7" a="1"/>
  <c r="AV90" i="7" a="1"/>
  <c r="BD26" i="8" a="1"/>
  <c r="BD20" i="8" a="1"/>
  <c r="BD77" i="8" a="1"/>
  <c r="BD82" i="8" a="1"/>
  <c r="AV88" i="7" a="1"/>
  <c r="BB102" i="8" a="1"/>
  <c r="AV105" i="7" a="1"/>
  <c r="BB86" i="8" a="1"/>
  <c r="BC83" i="8" a="1"/>
  <c r="AV71" i="7" a="1"/>
  <c r="AV79" i="7" a="1"/>
  <c r="AV98" i="7" a="1"/>
  <c r="BB74" i="8" a="1"/>
  <c r="BD107" i="8" a="1"/>
  <c r="AV74" i="7" a="1"/>
  <c r="BC64" i="8" a="1"/>
  <c r="BB101" i="8" a="1"/>
  <c r="AV102" i="7" a="1"/>
  <c r="AV107" i="7" a="1"/>
  <c r="BB109" i="8" a="1"/>
  <c r="AV100" i="7" a="1"/>
  <c r="BD71" i="8" a="1"/>
  <c r="BC100" i="8" a="1"/>
  <c r="AV70" i="7" a="1"/>
  <c r="BC40" i="8" a="1"/>
  <c r="BD46" i="8" a="1"/>
  <c r="AV81" i="7" a="1"/>
  <c r="BC48" i="8" a="1"/>
  <c r="BB81" i="8" a="1"/>
  <c r="BD39" i="8" a="1"/>
  <c r="BC44" i="8" a="1"/>
  <c r="BC92" i="8" a="1"/>
  <c r="BB90" i="8" a="1"/>
  <c r="BC31" i="8" a="1"/>
  <c r="BD51" i="8" a="1"/>
  <c r="BD57" i="8" a="1"/>
  <c r="BC23" i="8" l="1"/>
  <c r="BC31" i="8"/>
  <c r="BC55" i="8"/>
  <c r="BC88" i="8"/>
  <c r="BC36" i="8"/>
  <c r="BB38" i="8"/>
  <c r="BB101" i="8"/>
  <c r="BB81" i="8"/>
  <c r="BB102" i="8"/>
  <c r="BB35" i="8"/>
  <c r="BB76" i="8"/>
  <c r="BC100" i="8"/>
  <c r="BB86" i="8"/>
  <c r="BB109" i="8"/>
  <c r="BB70" i="8"/>
  <c r="BC62" i="8"/>
  <c r="BB93" i="8"/>
  <c r="BB94" i="8"/>
  <c r="BB89" i="8"/>
  <c r="BC108" i="8"/>
  <c r="BB98" i="8"/>
  <c r="BC24" i="8"/>
  <c r="BC92" i="8"/>
  <c r="BB85" i="8"/>
  <c r="BB44" i="8"/>
  <c r="BB32" i="8"/>
  <c r="BB79" i="8"/>
  <c r="BC21" i="8"/>
  <c r="BC96" i="8"/>
  <c r="BC72" i="8"/>
  <c r="BD20" i="8"/>
  <c r="BC83" i="8"/>
  <c r="BC47" i="8"/>
  <c r="BB37" i="8"/>
  <c r="BB49" i="8"/>
  <c r="BB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BC54" i="8"/>
  <c r="BC78" i="8"/>
  <c r="BC59" i="8"/>
  <c r="BB74" i="8"/>
  <c r="BB41" i="8"/>
  <c r="BC66" i="8"/>
  <c r="BC61" i="8"/>
  <c r="BC60" i="8"/>
  <c r="BB97" i="8"/>
  <c r="BC64" i="8"/>
  <c r="BB90" i="8"/>
  <c r="BB65" i="8"/>
  <c r="BB106" i="8"/>
  <c r="BB84" i="8"/>
  <c r="BB45" i="8"/>
  <c r="BC40" i="8"/>
  <c r="BC104" i="8"/>
  <c r="BC73" i="8"/>
  <c r="BC56" i="8"/>
  <c r="BB67" i="8"/>
  <c r="G88" i="9"/>
  <c r="AE109" i="4"/>
  <c r="H45" i="13" s="1" a="1"/>
  <c r="H45" i="13" s="1"/>
  <c r="AE108" i="4"/>
  <c r="H47" i="13" s="1" a="1"/>
  <c r="H47" i="13" s="1"/>
  <c r="AQ109" i="4"/>
  <c r="V45" i="13" s="1" a="1"/>
  <c r="V45" i="13" s="1"/>
  <c r="AQ108" i="4"/>
  <c r="V47" i="13" s="1" a="1"/>
  <c r="V47" i="13" s="1"/>
  <c r="AS28" i="8"/>
  <c r="AE71" i="4"/>
  <c r="H33" i="13" s="1" a="1"/>
  <c r="H33" i="13" s="1"/>
  <c r="AI116" i="8"/>
  <c r="AQ69" i="4"/>
  <c r="V31" i="13" s="1" a="1"/>
  <c r="V31" i="13" s="1"/>
  <c r="AS29" i="8"/>
  <c r="AE70" i="4"/>
  <c r="H32" i="13" s="1" a="1"/>
  <c r="H32" i="13" s="1"/>
  <c r="BC45" i="8"/>
  <c r="BD39" i="8"/>
  <c r="BC44" i="8"/>
  <c r="BC48" i="8"/>
  <c r="BD36" i="8"/>
  <c r="BC93" i="8"/>
  <c r="BC74" i="8"/>
  <c r="BD77" i="8"/>
  <c r="BD25" i="8"/>
  <c r="BD100" i="8"/>
  <c r="BD99" i="8"/>
  <c r="BD91" i="8"/>
  <c r="BD95" i="8"/>
  <c r="BD26" i="8"/>
  <c r="BD87" i="8"/>
  <c r="BD66" i="8"/>
  <c r="BC103" i="8"/>
  <c r="BD71" i="8"/>
  <c r="BD62" i="8"/>
  <c r="BD54" i="8"/>
  <c r="BC84" i="8"/>
  <c r="BD59" i="8"/>
  <c r="BC38" i="8"/>
  <c r="BC70" i="8"/>
  <c r="BD64" i="8"/>
  <c r="BD42" i="8"/>
  <c r="BC50" i="8"/>
  <c r="BD40" i="8"/>
  <c r="BC89" i="8"/>
  <c r="BC33" i="8"/>
  <c r="BC67" i="8"/>
  <c r="BD58" i="8"/>
  <c r="BC98" i="8"/>
  <c r="BD63" i="8"/>
  <c r="BD107" i="8"/>
  <c r="BD82" i="8"/>
  <c r="BD51" i="8"/>
  <c r="BD57" i="8"/>
  <c r="BC69" i="8"/>
  <c r="BD23" i="8"/>
  <c r="BD46" i="8"/>
  <c r="BD78" i="8"/>
  <c r="BC75" i="8"/>
  <c r="AP45" i="8" a="1"/>
  <c r="AP45" i="8" s="1"/>
  <c r="AE111" i="4" s="1"/>
  <c r="H48" i="13" s="1" a="1"/>
  <c r="H48" i="13" s="1"/>
  <c r="AS39" i="8"/>
  <c r="AP44" i="8" a="1"/>
  <c r="AP44" i="8" s="1"/>
  <c r="AE112" i="4" s="1"/>
  <c r="H49" i="13" s="1" a="1"/>
  <c r="H49" i="13" s="1"/>
  <c r="AP48" i="8" a="1"/>
  <c r="AP48" i="8" s="1"/>
  <c r="AS36" i="8"/>
  <c r="AP93" i="8" a="1"/>
  <c r="AP93" i="8" s="1"/>
  <c r="AE97" i="4" s="1"/>
  <c r="H97" i="13" s="1" a="1"/>
  <c r="H97" i="13" s="1"/>
  <c r="AP74" i="8" a="1"/>
  <c r="AP74" i="8" s="1"/>
  <c r="AE91" i="4" s="1"/>
  <c r="H91" i="13" s="1" a="1"/>
  <c r="H91" i="13" s="1"/>
  <c r="AP43" i="8" a="1"/>
  <c r="AP43" i="8" s="1"/>
  <c r="AE114" i="4" s="1"/>
  <c r="H51" i="13" s="1" a="1"/>
  <c r="H51" i="13" s="1"/>
  <c r="AS21" i="8"/>
  <c r="AS77" i="8"/>
  <c r="AS25" i="8"/>
  <c r="AS100" i="8"/>
  <c r="AP65" i="8" a="1"/>
  <c r="AP65" i="8" s="1"/>
  <c r="AE105" i="4" s="1"/>
  <c r="H68" i="13" s="1" a="1"/>
  <c r="H68" i="13" s="1"/>
  <c r="AS61" i="8"/>
  <c r="AS34" i="8"/>
  <c r="AS99" i="8"/>
  <c r="AP102" i="8" a="1"/>
  <c r="AP102" i="8" s="1"/>
  <c r="AE88" i="4" s="1"/>
  <c r="H88" i="13" s="1" a="1"/>
  <c r="H88" i="13" s="1"/>
  <c r="AS91" i="8"/>
  <c r="AS95" i="8"/>
  <c r="AP81" i="8" a="1"/>
  <c r="AP81" i="8" s="1"/>
  <c r="AE83" i="4" s="1"/>
  <c r="H83" i="13" s="1" a="1"/>
  <c r="H83" i="13" s="1"/>
  <c r="AS60" i="8"/>
  <c r="AS26" i="8"/>
  <c r="AS87" i="8"/>
  <c r="M78" i="3"/>
  <c r="AS66" i="8"/>
  <c r="AS56" i="8"/>
  <c r="AP103" i="8" a="1"/>
  <c r="AP103" i="8" s="1"/>
  <c r="AS71" i="8"/>
  <c r="AP80" i="8" a="1"/>
  <c r="AP80" i="8" s="1"/>
  <c r="AE94" i="4" s="1"/>
  <c r="H94" i="13" s="1" a="1"/>
  <c r="H94" i="13" s="1"/>
  <c r="AP97" i="8" a="1"/>
  <c r="AP97" i="8" s="1"/>
  <c r="AE98" i="4" s="1"/>
  <c r="H98" i="13" s="1" a="1"/>
  <c r="H98" i="13" s="1"/>
  <c r="AS72" i="8"/>
  <c r="AP37" i="8" a="1"/>
  <c r="AP37" i="8" s="1"/>
  <c r="AE120" i="4" s="1"/>
  <c r="H23" i="13" s="1" a="1"/>
  <c r="H23" i="13" s="1"/>
  <c r="AS62" i="8"/>
  <c r="AS55" i="8"/>
  <c r="AP86" i="8" a="1"/>
  <c r="AP86" i="8" s="1"/>
  <c r="AE84" i="4" s="1"/>
  <c r="H84" i="13" s="1" a="1"/>
  <c r="H84" i="13" s="1"/>
  <c r="AS54" i="8"/>
  <c r="AP32" i="8" a="1"/>
  <c r="AP32" i="8" s="1"/>
  <c r="AE117" i="4" s="1"/>
  <c r="H21" i="13" s="1" a="1"/>
  <c r="H21" i="13" s="1"/>
  <c r="AP68" i="8" a="1"/>
  <c r="AP68" i="8" s="1"/>
  <c r="AE107" i="4" s="1"/>
  <c r="H70" i="13" s="1" a="1"/>
  <c r="H70" i="13" s="1"/>
  <c r="AP84" i="8" a="1"/>
  <c r="AP84" i="8" s="1"/>
  <c r="AE93" i="4" s="1"/>
  <c r="H93" i="13" s="1" a="1"/>
  <c r="H93" i="13" s="1"/>
  <c r="AS59" i="8"/>
  <c r="AP38" i="8" a="1"/>
  <c r="AP38" i="8" s="1"/>
  <c r="AE119" i="4" s="1"/>
  <c r="H22" i="13" s="1" a="1"/>
  <c r="H22" i="13" s="1"/>
  <c r="AP70" i="8" a="1"/>
  <c r="AP70" i="8" s="1"/>
  <c r="AE106" i="4" s="1"/>
  <c r="H69" i="13" s="1" a="1"/>
  <c r="H69" i="13" s="1"/>
  <c r="AS64" i="8"/>
  <c r="AS42" i="8"/>
  <c r="AP50" i="8" a="1"/>
  <c r="AP50" i="8" s="1"/>
  <c r="AS40" i="8"/>
  <c r="AP89" i="8" a="1"/>
  <c r="AP89" i="8" s="1"/>
  <c r="AE96" i="4" s="1"/>
  <c r="H96" i="13" s="1" a="1"/>
  <c r="H96" i="13" s="1"/>
  <c r="AP33" i="8" a="1"/>
  <c r="AP33" i="8" s="1"/>
  <c r="AE121" i="4" s="1"/>
  <c r="H24" i="13" s="1" a="1"/>
  <c r="H24" i="13" s="1"/>
  <c r="AS24" i="8"/>
  <c r="AP110" i="8" a="1"/>
  <c r="AP110" i="8" s="1"/>
  <c r="AE90" i="4" s="1"/>
  <c r="H90" i="13" s="1" a="1"/>
  <c r="H90" i="13" s="1"/>
  <c r="AS96" i="8"/>
  <c r="AP76" i="8" a="1"/>
  <c r="AP76" i="8" s="1"/>
  <c r="AE82" i="4" s="1"/>
  <c r="H82" i="13" s="1" a="1"/>
  <c r="H82" i="13" s="1"/>
  <c r="AS73" i="8"/>
  <c r="AP41" i="8" a="1"/>
  <c r="AP41" i="8" s="1"/>
  <c r="AE113" i="4" s="1"/>
  <c r="H50" i="13" s="1" a="1"/>
  <c r="H50" i="13" s="1"/>
  <c r="AP67" i="8" a="1"/>
  <c r="AP67" i="8" s="1"/>
  <c r="AE103" i="4" s="1"/>
  <c r="H66" i="13" s="1" a="1"/>
  <c r="H66" i="13" s="1"/>
  <c r="AS53" i="8"/>
  <c r="AP85" i="8" a="1"/>
  <c r="AP85" i="8" s="1"/>
  <c r="AE95" i="4" s="1"/>
  <c r="H95" i="13" s="1" a="1"/>
  <c r="H95" i="13" s="1"/>
  <c r="AP105" i="8" a="1"/>
  <c r="AP105" i="8" s="1"/>
  <c r="AE100" i="4" s="1"/>
  <c r="H100" i="13" s="1" a="1"/>
  <c r="H100" i="13" s="1"/>
  <c r="AE125" i="4"/>
  <c r="H53" i="13" s="1" a="1"/>
  <c r="H53" i="13" s="1"/>
  <c r="AS58" i="8"/>
  <c r="AP98" i="8" a="1"/>
  <c r="AP98" i="8" s="1"/>
  <c r="AE87" i="4" s="1"/>
  <c r="H87" i="13" s="1" a="1"/>
  <c r="H87" i="13" s="1"/>
  <c r="AS108" i="8"/>
  <c r="AS92" i="8"/>
  <c r="AP94" i="8" a="1"/>
  <c r="AP94" i="8" s="1"/>
  <c r="AE86" i="4" s="1"/>
  <c r="H86" i="13" s="1" a="1"/>
  <c r="H86" i="13" s="1"/>
  <c r="AS63" i="8"/>
  <c r="AS31" i="8"/>
  <c r="AS88" i="8"/>
  <c r="AP49" i="8" a="1"/>
  <c r="AP49" i="8" s="1"/>
  <c r="AE124" i="4" s="1"/>
  <c r="H37" i="13" s="1" a="1"/>
  <c r="H37" i="13" s="1"/>
  <c r="AS107" i="8"/>
  <c r="AS82" i="8"/>
  <c r="AS83" i="8"/>
  <c r="AS104" i="8"/>
  <c r="AP101" i="8" a="1"/>
  <c r="AP101" i="8" s="1"/>
  <c r="AE99" i="4" s="1"/>
  <c r="H99" i="13" s="1" a="1"/>
  <c r="H99" i="13" s="1"/>
  <c r="AP106" i="8" a="1"/>
  <c r="AP106" i="8" s="1"/>
  <c r="AE89" i="4" s="1"/>
  <c r="H89" i="13" s="1" a="1"/>
  <c r="H89" i="13" s="1"/>
  <c r="AS51" i="8"/>
  <c r="AP90" i="8" a="1"/>
  <c r="AP90" i="8" s="1"/>
  <c r="AE85" i="4" s="1"/>
  <c r="H85" i="13" s="1" a="1"/>
  <c r="H85" i="13" s="1"/>
  <c r="AS57" i="8"/>
  <c r="AP109" i="8" a="1"/>
  <c r="AP109" i="8" s="1"/>
  <c r="AE101" i="4" s="1"/>
  <c r="H101" i="13" s="1" a="1"/>
  <c r="H101" i="13" s="1"/>
  <c r="AP69" i="8" a="1"/>
  <c r="AP69" i="8" s="1"/>
  <c r="AS47" i="8"/>
  <c r="AP79" i="8" a="1"/>
  <c r="AP79" i="8" s="1"/>
  <c r="AE92" i="4" s="1"/>
  <c r="H92" i="13" s="1" a="1"/>
  <c r="H92" i="13" s="1"/>
  <c r="AS23" i="8"/>
  <c r="AS46" i="8"/>
  <c r="AS78" i="8"/>
  <c r="AP35" i="8" a="1"/>
  <c r="AP35" i="8" s="1"/>
  <c r="AE115" i="4" s="1"/>
  <c r="H20" i="13" s="1" a="1"/>
  <c r="H20" i="13" s="1"/>
  <c r="AP75" i="8" a="1"/>
  <c r="AP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BC32" i="8" a="1"/>
  <c r="BD108" i="8" a="1"/>
  <c r="BD50" i="8" a="1"/>
  <c r="BC109" i="8" a="1"/>
  <c r="BD56" i="8" a="1"/>
  <c r="BC106" i="8" a="1"/>
  <c r="BD73" i="8" a="1"/>
  <c r="BD93" i="8" a="1"/>
  <c r="BD31" i="8" a="1"/>
  <c r="BD53" i="8" a="1"/>
  <c r="BC85" i="8" a="1"/>
  <c r="BC79" i="8" a="1"/>
  <c r="BD48" i="8" a="1"/>
  <c r="BC86" i="8" a="1"/>
  <c r="BC105" i="8" a="1"/>
  <c r="BD24" i="8" a="1"/>
  <c r="BC90" i="8" a="1"/>
  <c r="BD92" i="8" a="1"/>
  <c r="BC101" i="8" a="1"/>
  <c r="BC37" i="8" a="1"/>
  <c r="BC81" i="8" a="1"/>
  <c r="BD61" i="8" a="1"/>
  <c r="BD75" i="8" a="1"/>
  <c r="BC41" i="8" a="1"/>
  <c r="BC43" i="8" a="1"/>
  <c r="BD88" i="8" a="1"/>
  <c r="BC65" i="8" a="1"/>
  <c r="BD72" i="8" a="1"/>
  <c r="BC102" i="8" a="1"/>
  <c r="BD47" i="8" a="1"/>
  <c r="BC68" i="8" a="1"/>
  <c r="BD105" i="8" a="1"/>
  <c r="BC35" i="8" a="1"/>
  <c r="BD104" i="8" a="1"/>
  <c r="BD103" i="8" a="1"/>
  <c r="BD83" i="8" a="1"/>
  <c r="BD55" i="8" a="1"/>
  <c r="BC110" i="8" a="1"/>
  <c r="BC49" i="8" a="1"/>
  <c r="BD21" i="8" a="1"/>
  <c r="BC94" i="8" a="1"/>
  <c r="BC80" i="8" a="1"/>
  <c r="BD60" i="8" a="1"/>
  <c r="BC76" i="8" a="1"/>
  <c r="BD34" i="8" a="1"/>
  <c r="BD69" i="8" a="1"/>
  <c r="BD96" i="8" a="1"/>
  <c r="BC97" i="8" a="1"/>
  <c r="BD47" i="8" l="1"/>
  <c r="BD88" i="8"/>
  <c r="BD83" i="8"/>
  <c r="BC106" i="8"/>
  <c r="BC90" i="8"/>
  <c r="BC101" i="8"/>
  <c r="BC109" i="8"/>
  <c r="BD104" i="8"/>
  <c r="BC35" i="8"/>
  <c r="BC79" i="8"/>
  <c r="BC32" i="8"/>
  <c r="BD55" i="8"/>
  <c r="BC80" i="8"/>
  <c r="BD108" i="8"/>
  <c r="BC105" i="8"/>
  <c r="BD92" i="8"/>
  <c r="BC94" i="8"/>
  <c r="BC43" i="8"/>
  <c r="BD53" i="8"/>
  <c r="BC110" i="8"/>
  <c r="BC85" i="8"/>
  <c r="BC68" i="8"/>
  <c r="BC86" i="8"/>
  <c r="BC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BD31" i="8"/>
  <c r="BD24" i="8"/>
  <c r="BC41" i="8"/>
  <c r="BD96" i="8"/>
  <c r="BD73" i="8"/>
  <c r="BC76" i="8"/>
  <c r="BC49" i="8"/>
  <c r="BC102" i="8"/>
  <c r="BC37" i="8"/>
  <c r="BD72" i="8"/>
  <c r="BD56" i="8"/>
  <c r="BD61" i="8"/>
  <c r="BC65" i="8"/>
  <c r="BD21" i="8"/>
  <c r="BD34" i="8"/>
  <c r="BC81" i="8"/>
  <c r="BD60" i="8"/>
  <c r="BD75" i="8"/>
  <c r="BD50" i="8"/>
  <c r="BD105" i="8"/>
  <c r="BD69" i="8"/>
  <c r="BD93" i="8"/>
  <c r="BD48" i="8"/>
  <c r="BD103" i="8"/>
  <c r="AS84" i="8"/>
  <c r="AS75" i="8"/>
  <c r="AS33" i="8"/>
  <c r="AS86" i="8"/>
  <c r="AS50" i="8"/>
  <c r="AS79" i="8"/>
  <c r="AS85" i="8"/>
  <c r="AS49" i="8"/>
  <c r="AS37" i="8"/>
  <c r="AS81" i="8"/>
  <c r="AS43" i="8"/>
  <c r="AS105" i="8"/>
  <c r="AS69" i="8"/>
  <c r="AS67" i="8"/>
  <c r="AS74" i="8"/>
  <c r="AS89" i="8"/>
  <c r="AS109" i="8"/>
  <c r="AS41" i="8"/>
  <c r="AS70" i="8"/>
  <c r="AS97" i="8"/>
  <c r="AS93" i="8"/>
  <c r="AS38" i="8"/>
  <c r="AS80" i="8"/>
  <c r="AS102" i="8"/>
  <c r="AS76" i="8"/>
  <c r="AS48" i="8"/>
  <c r="AS90" i="8"/>
  <c r="AS44" i="8"/>
  <c r="AS94" i="8"/>
  <c r="AS106" i="8"/>
  <c r="AS68" i="8"/>
  <c r="AS103" i="8"/>
  <c r="AS110" i="8"/>
  <c r="AS35" i="8"/>
  <c r="AS101" i="8"/>
  <c r="AS98" i="8"/>
  <c r="AS32" i="8"/>
  <c r="AS65" i="8"/>
  <c r="AS45" i="8"/>
  <c r="M113" i="3"/>
  <c r="N108" i="3"/>
  <c r="AD130" i="4"/>
  <c r="AC131" i="4"/>
  <c r="L111" i="3"/>
  <c r="K117" i="3"/>
  <c r="L117" i="3" s="1"/>
  <c r="N117" i="3" s="1"/>
  <c r="AE42" i="4"/>
  <c r="I120" i="3"/>
  <c r="L118" i="3"/>
  <c r="N118" i="3" s="1"/>
  <c r="BD37" i="8" a="1"/>
  <c r="BD65" i="8" a="1"/>
  <c r="BD38" i="8" a="1"/>
  <c r="BD106" i="8" a="1"/>
  <c r="BD85" i="8" a="1"/>
  <c r="BD33" i="8" a="1"/>
  <c r="BD90" i="8" a="1"/>
  <c r="BD84" i="8" a="1"/>
  <c r="BD86" i="8" a="1"/>
  <c r="BD43" i="8" a="1"/>
  <c r="BD102" i="8" a="1"/>
  <c r="BD49" i="8" a="1"/>
  <c r="BD45" i="8" a="1"/>
  <c r="BD41" i="8" a="1"/>
  <c r="BD68" i="8" a="1"/>
  <c r="BD74" i="8" a="1"/>
  <c r="BD97" i="8" a="1"/>
  <c r="BD67" i="8" a="1"/>
  <c r="BD81" i="8" a="1"/>
  <c r="BD32" i="8" a="1"/>
  <c r="BD94" i="8" a="1"/>
  <c r="BD70" i="8" a="1"/>
  <c r="BD89" i="8" a="1"/>
  <c r="BD101" i="8" a="1"/>
  <c r="BD80" i="8" a="1"/>
  <c r="BD98" i="8" a="1"/>
  <c r="BD35" i="8" a="1"/>
  <c r="BD110" i="8" a="1"/>
  <c r="BD79" i="8" a="1"/>
  <c r="BD109" i="8" a="1"/>
  <c r="BD44" i="8" a="1"/>
  <c r="BD76" i="8" a="1"/>
  <c r="BD80" i="8" l="1"/>
  <c r="BD74" i="8"/>
  <c r="BD65" i="8"/>
  <c r="BD33" i="8"/>
  <c r="BD97" i="8"/>
  <c r="BD102" i="8"/>
  <c r="BD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BD86" i="8"/>
  <c r="BD68" i="8"/>
  <c r="BD106" i="8"/>
  <c r="BD38" i="8"/>
  <c r="BD98" i="8"/>
  <c r="BD67" i="8"/>
  <c r="BD110" i="8"/>
  <c r="BD76" i="8"/>
  <c r="BD89" i="8"/>
  <c r="BD84" i="8"/>
  <c r="BD45" i="8"/>
  <c r="BD70" i="8"/>
  <c r="BD32" i="8"/>
  <c r="BD44" i="8"/>
  <c r="BD101" i="8"/>
  <c r="BD35" i="8"/>
  <c r="BD94" i="8"/>
  <c r="BD90" i="8"/>
  <c r="BD79" i="8"/>
  <c r="BD109" i="8"/>
  <c r="BD85" i="8"/>
  <c r="BD43" i="8"/>
  <c r="BD81" i="8"/>
  <c r="BD37" i="8"/>
  <c r="BD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tc={9E8C28E8-1EF5-4168-8CAC-1B464E32FBF2}</author>
  </authors>
  <commentList>
    <comment ref="AL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Q6" authorId="1" shapeId="0" xr:uid="{0D210A22-F54B-4D6F-AB3F-3BDCAC052E64}">
      <text>
        <r>
          <rPr>
            <b/>
            <sz val="9"/>
            <color indexed="81"/>
            <rFont val="Tahoma"/>
            <family val="2"/>
          </rPr>
          <t>Fadiel:</t>
        </r>
        <r>
          <rPr>
            <sz val="9"/>
            <color indexed="81"/>
            <rFont val="Tahoma"/>
            <family val="2"/>
          </rPr>
          <t xml:space="preserve">
</t>
        </r>
      </text>
    </comment>
    <comment ref="AL7" authorId="2" shapeId="0" xr:uid="{F95DA8E9-3010-47AD-B110-3F6ADF84BFBD}">
      <text>
        <r>
          <rPr>
            <b/>
            <sz val="9"/>
            <color indexed="81"/>
            <rFont val="Tahoma"/>
            <family val="2"/>
          </rPr>
          <t>ESAP PC:</t>
        </r>
        <r>
          <rPr>
            <sz val="9"/>
            <color indexed="81"/>
            <rFont val="Tahoma"/>
            <family val="2"/>
          </rPr>
          <t xml:space="preserve">
EFF scenario</t>
        </r>
      </text>
    </comment>
    <comment ref="AQ7" authorId="1" shapeId="0" xr:uid="{5E14DC95-F96C-4E84-9A43-2BD6510A0AD3}">
      <text>
        <r>
          <rPr>
            <b/>
            <sz val="9"/>
            <color indexed="81"/>
            <rFont val="Tahoma"/>
            <family val="2"/>
          </rPr>
          <t>Fadiel:</t>
        </r>
        <r>
          <rPr>
            <sz val="9"/>
            <color indexed="81"/>
            <rFont val="Tahoma"/>
            <family val="2"/>
          </rPr>
          <t xml:space="preserve">
</t>
        </r>
      </text>
    </comment>
    <comment ref="AQ11" authorId="1" shapeId="0" xr:uid="{01157E26-C0A2-4877-A7F9-420DB97ADFD9}">
      <text>
        <r>
          <rPr>
            <b/>
            <sz val="9"/>
            <color indexed="81"/>
            <rFont val="Tahoma"/>
            <family val="2"/>
          </rPr>
          <t>Fadiel:</t>
        </r>
        <r>
          <rPr>
            <sz val="9"/>
            <color indexed="81"/>
            <rFont val="Tahoma"/>
            <family val="2"/>
          </rPr>
          <t xml:space="preserve">
</t>
        </r>
      </text>
    </comment>
    <comment ref="AL12" authorId="2" shapeId="0" xr:uid="{3B86BC4A-7429-48B1-A634-7223AE84AB7D}">
      <text>
        <r>
          <rPr>
            <b/>
            <sz val="9"/>
            <color indexed="81"/>
            <rFont val="Tahoma"/>
            <family val="2"/>
          </rPr>
          <t>ESAP PC:</t>
        </r>
        <r>
          <rPr>
            <sz val="9"/>
            <color indexed="81"/>
            <rFont val="Tahoma"/>
            <family val="2"/>
          </rPr>
          <t xml:space="preserve">
EFF scenario</t>
        </r>
      </text>
    </comment>
    <comment ref="AQ12" authorId="1" shapeId="0" xr:uid="{6083C985-A3A4-45F5-A4E2-FB80041A7D74}">
      <text>
        <r>
          <rPr>
            <b/>
            <sz val="9"/>
            <color indexed="81"/>
            <rFont val="Tahoma"/>
            <family val="2"/>
          </rPr>
          <t>Fadiel:</t>
        </r>
        <r>
          <rPr>
            <sz val="9"/>
            <color indexed="81"/>
            <rFont val="Tahoma"/>
            <family val="2"/>
          </rPr>
          <t xml:space="preserve">
</t>
        </r>
      </text>
    </comment>
    <comment ref="AD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L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V19" authorId="4" shapeId="0" xr:uid="{9E8C28E8-1EF5-4168-8CAC-1B464E32FBF2}">
      <text>
        <t>[Threaded comment]
Your version of Excel allows you to read this threaded comment; however, any edits to it will get removed if the file is opened in a newer version of Excel. Learn more: https://go.microsoft.com/fwlink/?linkid=870924
Comment:
    Should be multiple of 5</t>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AD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K27" authorId="1" shapeId="0" xr:uid="{C6A97AB0-7AE8-47DE-B943-80873A435542}">
      <text>
        <r>
          <rPr>
            <b/>
            <sz val="9"/>
            <color indexed="81"/>
            <rFont val="Tahoma"/>
            <family val="2"/>
          </rPr>
          <t>Fadiel:</t>
        </r>
        <r>
          <rPr>
            <sz val="9"/>
            <color indexed="81"/>
            <rFont val="Tahoma"/>
            <family val="2"/>
          </rPr>
          <t xml:space="preserve">
~15.8kwh/km
</t>
        </r>
      </text>
    </comment>
    <comment ref="AM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tc={B91C91E8-4285-4F9B-92CE-677D1E14B3EB}</author>
    <author>tc={28A0C789-F0A0-4DCC-9169-B681EC4CA001}</author>
    <author>tc={498C836D-0208-45A8-8FCD-863043A61A47}</author>
    <author>tc={8516D355-3956-4B06-BBED-4AF55E35E6DF}</author>
  </authors>
  <commentList>
    <comment ref="X23" authorId="0" shapeId="0" xr:uid="{B91C91E8-4285-4F9B-92CE-677D1E14B3EB}">
      <text>
        <t>[Threaded comment]
Your version of Excel allows you to read this threaded comment; however, any edits to it will get removed if the file is opened in a newer version of Excel. Learn more: https://go.microsoft.com/fwlink/?linkid=870924
Comment:
    Adjusted</t>
      </text>
    </comment>
    <comment ref="W62" authorId="1"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74" authorId="2"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86" authorId="3"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<sst xmlns="http://schemas.openxmlformats.org/spreadsheetml/2006/main" count="6056" uniqueCount="1364">
  <si>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</si>
  <si>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</si>
  <si>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</si>
  <si>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</si>
  <si>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</si>
  <si>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</si>
  <si>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</si>
  <si>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</si>
  <si>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</si>
  <si>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</si>
  <si>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</si>
  <si>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</si>
  <si>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</si>
  <si>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</si>
  <si>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</si>
  <si>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</si>
  <si>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</si>
  <si>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</si>
  <si>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</si>
  <si>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</si>
  <si>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</si>
  <si>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</si>
  <si>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</si>
  <si>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</si>
  <si>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</si>
  <si>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</si>
  <si>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</si>
  <si>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</si>
  <si>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</si>
  <si>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</si>
  <si>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</si>
  <si>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</si>
  <si>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</si>
  <si>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</si>
  <si>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</si>
  <si>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</si>
  <si>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</si>
  <si>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</si>
  <si>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</si>
  <si>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</si>
  <si>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</si>
  <si>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</si>
  <si>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</si>
  <si>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</si>
  <si>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</si>
  <si>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</si>
  <si>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</si>
  <si>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</si>
  <si>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</si>
  <si>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</si>
  <si>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</si>
  <si>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</si>
  <si>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</si>
  <si>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</si>
  <si>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</si>
  <si>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</si>
  <si>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</si>
  <si>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</si>
  <si>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</si>
  <si>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</si>
  <si>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</si>
  <si>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</si>
  <si>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</si>
  <si>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</si>
  <si>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</si>
  <si>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</si>
  <si>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</si>
  <si>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</si>
  <si>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</si>
  <si>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</si>
  <si>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</si>
  <si>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</si>
  <si>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</si>
  <si>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</si>
  <si>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</si>
  <si>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</si>
  <si>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</si>
  <si>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</si>
  <si>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</si>
  <si>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</si>
  <si>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</si>
  <si>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</si>
  <si>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</si>
  <si>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</si>
  <si>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</si>
  <si>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</si>
  <si>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</si>
  <si>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</si>
  <si>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</si>
  <si>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</si>
  <si>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</si>
  <si>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</si>
  <si>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</si>
  <si>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</si>
  <si>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</si>
  <si>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</si>
  <si>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</si>
  <si>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</si>
  <si>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</si>
  <si>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</si>
  <si>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</si>
  <si>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</si>
  <si>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</si>
  <si>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</si>
  <si>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</si>
  <si>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</si>
  <si>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</si>
  <si>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</si>
  <si>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</si>
  <si>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</si>
  <si>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</si>
  <si>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</si>
  <si>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</si>
  <si>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</si>
  <si>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</si>
  <si>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</si>
  <si>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</si>
  <si>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</si>
  <si>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</si>
  <si>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</si>
  <si>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</si>
  <si>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</si>
  <si>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</si>
  <si>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</si>
  <si>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</si>
  <si>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</si>
  <si>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</si>
  <si>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</si>
  <si>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</si>
  <si>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</si>
  <si>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</si>
  <si>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</si>
  <si>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</si>
  <si>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</si>
  <si>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</si>
  <si>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</si>
  <si>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</si>
  <si>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</si>
  <si>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</si>
  <si>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</si>
  <si>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</si>
  <si>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</si>
  <si>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</si>
  <si>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</si>
  <si>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</si>
  <si>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</si>
  <si>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</si>
  <si>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</si>
  <si>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</si>
  <si>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</si>
  <si>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</si>
  <si>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</si>
  <si>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</si>
  <si>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</si>
  <si>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</si>
  <si>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</si>
  <si>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</si>
  <si>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</si>
  <si>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</si>
  <si>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</si>
  <si>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</si>
  <si>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</si>
  <si>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</si>
  <si>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</si>
  <si>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</si>
  <si>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</si>
  <si>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</si>
  <si>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</si>
  <si>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</si>
  <si>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</si>
  <si>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</si>
  <si>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</si>
  <si>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</si>
  <si>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</si>
  <si>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</si>
  <si>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</si>
  <si>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</si>
  <si>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</si>
  <si>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</si>
  <si>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</si>
  <si>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</si>
  <si>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</si>
  <si>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</si>
  <si>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</si>
  <si>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</si>
  <si>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</si>
  <si>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</si>
  <si>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</si>
  <si>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</si>
  <si>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</si>
  <si>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</si>
  <si>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</si>
  <si>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</si>
  <si>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</si>
  <si>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</si>
  <si>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</si>
  <si>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</si>
  <si>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</si>
  <si>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</si>
  <si>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</si>
  <si>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</si>
  <si>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</si>
  <si>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</si>
  <si>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</si>
  <si>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</si>
  <si>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</si>
  <si>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</si>
  <si>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</si>
  <si>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</si>
  <si>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</si>
  <si>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</si>
  <si>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</si>
  <si>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</si>
  <si>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</si>
  <si>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</si>
  <si>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</si>
  <si>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</si>
  <si>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</si>
  <si>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</si>
  <si>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</si>
  <si>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</si>
  <si>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</si>
  <si>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</si>
  <si>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</si>
  <si>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</si>
  <si>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</si>
  <si>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</si>
  <si>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</si>
  <si>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</si>
  <si>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</si>
  <si>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</si>
  <si>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</si>
  <si>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</si>
  <si>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</si>
  <si>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</si>
  <si>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</si>
  <si>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</si>
  <si>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</si>
  <si>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</si>
  <si>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</si>
  <si>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</si>
  <si>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</si>
  <si>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</si>
  <si>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</si>
  <si>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</si>
  <si>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</si>
  <si>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</si>
  <si>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</si>
  <si>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</si>
  <si>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</si>
  <si>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</si>
  <si>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</si>
  <si>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</si>
  <si>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</si>
  <si>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</si>
  <si>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</si>
  <si>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</si>
  <si>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</si>
  <si>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</si>
  <si>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</si>
  <si>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</si>
  <si>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</si>
  <si>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</si>
  <si>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</si>
  <si>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</si>
  <si>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</si>
  <si>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</si>
  <si>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</si>
  <si>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</si>
  <si>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</si>
  <si>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</si>
  <si>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</si>
  <si>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</si>
  <si>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</si>
  <si>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</si>
  <si>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</si>
  <si>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</si>
  <si>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</si>
  <si>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</si>
  <si>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</si>
  <si>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</si>
  <si>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</si>
  <si>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</si>
  <si>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</si>
  <si>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</si>
  <si>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</si>
  <si>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</si>
  <si>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</si>
  <si>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</si>
  <si>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</si>
  <si>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</si>
  <si>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</si>
  <si>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</si>
  <si>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</si>
  <si>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</si>
  <si>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</si>
  <si>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</si>
  <si>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</si>
  <si>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</si>
  <si>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</si>
  <si>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</si>
  <si>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</si>
  <si>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</si>
  <si>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</si>
  <si>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</si>
  <si>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</si>
  <si>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</si>
  <si>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</si>
  <si>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</si>
  <si>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</si>
  <si>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</si>
  <si>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</si>
  <si>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</si>
  <si>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</si>
  <si>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</si>
  <si>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</si>
  <si>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</si>
  <si>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</si>
  <si>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</si>
  <si>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</si>
  <si>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</si>
  <si>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</si>
  <si>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</si>
  <si>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</si>
  <si>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</si>
  <si>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</si>
  <si>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</si>
  <si>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</si>
  <si>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</si>
  <si>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</si>
  <si>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</si>
  <si>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</si>
  <si>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</si>
  <si>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</si>
  <si>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</si>
  <si>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</si>
  <si>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</si>
  <si>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</si>
  <si>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</si>
  <si>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</si>
  <si>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</si>
  <si>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</si>
  <si>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</si>
  <si>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</si>
  <si>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</si>
  <si>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</si>
  <si>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</si>
  <si>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</si>
  <si>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</si>
  <si>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</si>
  <si>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</si>
  <si>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</si>
  <si>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</si>
  <si>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</si>
  <si>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</si>
  <si>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</si>
  <si>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</si>
  <si>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</si>
  <si>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</si>
  <si>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</si>
  <si>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</si>
  <si>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</si>
  <si>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</si>
  <si>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</si>
  <si>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</si>
  <si>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</si>
  <si>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</si>
  <si>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</si>
  <si>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</si>
  <si>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</si>
  <si>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</si>
  <si>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</si>
  <si>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</si>
  <si>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</si>
  <si>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</si>
  <si>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</si>
  <si>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</si>
  <si>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</si>
  <si>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</si>
  <si>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</si>
  <si>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</si>
  <si>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</si>
  <si>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</si>
  <si>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</si>
  <si>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</si>
  <si>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</si>
  <si>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</si>
  <si>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</si>
  <si>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</si>
  <si>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</si>
  <si>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</si>
  <si>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</si>
  <si>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</si>
  <si>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</si>
  <si>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</si>
  <si>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</si>
  <si>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</si>
  <si>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</si>
  <si>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</si>
  <si>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</si>
  <si>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</si>
  <si>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</si>
  <si>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</si>
  <si>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</si>
  <si>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</si>
  <si>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</si>
  <si>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</si>
  <si>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</si>
  <si>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</si>
  <si>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</si>
  <si>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</si>
  <si>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</si>
  <si>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</si>
  <si>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</si>
  <si>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</si>
  <si>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</si>
  <si>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</si>
  <si>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</si>
  <si>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</si>
  <si>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</si>
  <si>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</si>
  <si>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</si>
  <si>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</si>
  <si>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</si>
  <si>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</si>
  <si>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</si>
  <si>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</si>
  <si>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</si>
  <si>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</si>
  <si>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</si>
  <si>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</si>
  <si>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</si>
  <si>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</si>
  <si>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</si>
  <si>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</si>
  <si>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</si>
  <si>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</si>
  <si>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</si>
  <si>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</si>
  <si>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</si>
  <si>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</si>
  <si>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</si>
  <si>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</si>
  <si>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</si>
  <si>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</si>
  <si>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</si>
  <si>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</si>
  <si>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</si>
  <si>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</si>
  <si>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</si>
  <si>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</si>
  <si>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</si>
  <si>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</si>
  <si>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</si>
  <si>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</si>
  <si>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</si>
  <si>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</si>
  <si>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</si>
  <si>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</si>
  <si>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</si>
  <si>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</si>
  <si>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</si>
  <si>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</si>
  <si>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</si>
  <si>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</si>
  <si>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</si>
  <si>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</si>
  <si>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</si>
  <si>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</si>
  <si>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</si>
  <si>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</si>
  <si>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</si>
  <si>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</si>
  <si>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</si>
  <si>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</si>
  <si>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</si>
  <si>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</si>
  <si>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</si>
  <si>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</si>
  <si>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</si>
  <si>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</si>
  <si>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</si>
  <si>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</si>
  <si>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</si>
  <si>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</si>
  <si>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</si>
  <si>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</si>
  <si>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</si>
  <si>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</si>
  <si>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</si>
  <si>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</si>
  <si>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</si>
  <si>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</si>
  <si>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</si>
  <si>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</si>
  <si>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</si>
  <si>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</si>
  <si>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</si>
  <si>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</si>
  <si>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</si>
  <si>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</si>
  <si>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</si>
  <si>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</si>
  <si>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</si>
  <si>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</si>
  <si>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</si>
  <si>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</si>
  <si>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</si>
  <si>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</si>
  <si>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</si>
  <si>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</si>
  <si>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</si>
  <si>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</si>
  <si>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</si>
  <si>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</si>
  <si>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</si>
  <si>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</si>
  <si>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</si>
  <si>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</si>
  <si>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</si>
  <si>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</si>
  <si>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</si>
  <si>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</si>
  <si>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</si>
  <si>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</si>
  <si>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</si>
  <si>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</si>
  <si>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</si>
  <si>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</si>
  <si>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</si>
  <si>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</si>
  <si>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</si>
  <si>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</si>
  <si>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</si>
  <si>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</si>
  <si>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</si>
  <si>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</si>
  <si>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</si>
  <si>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</si>
  <si>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</si>
  <si>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</si>
  <si>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</si>
  <si>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</si>
  <si>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</si>
  <si>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</si>
  <si>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</si>
  <si>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</si>
  <si>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</si>
  <si>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</si>
  <si>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</si>
  <si>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</si>
  <si>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</si>
  <si>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</si>
  <si>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</si>
  <si>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</si>
  <si>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</si>
  <si>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</si>
  <si>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</si>
  <si>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</si>
  <si>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</si>
  <si>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</si>
  <si>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</si>
  <si>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</si>
  <si>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</si>
  <si>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</si>
  <si>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</si>
  <si>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</si>
  <si>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</si>
  <si>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</si>
  <si>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</si>
  <si>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</si>
  <si>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</si>
  <si>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</si>
  <si>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</si>
  <si>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</si>
  <si>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</si>
  <si>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</si>
  <si>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</si>
  <si>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</si>
  <si>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</si>
  <si>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</si>
  <si>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</si>
  <si>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</si>
  <si>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</si>
  <si>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</si>
  <si>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</si>
  <si>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</si>
  <si>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</si>
  <si>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</si>
  <si>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</si>
  <si>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</si>
  <si>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</si>
  <si>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</si>
  <si>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</si>
  <si>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</si>
  <si>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</si>
  <si>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</si>
  <si>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</si>
  <si>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</si>
  <si>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</si>
  <si>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</si>
  <si>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</si>
  <si>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</si>
  <si>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</si>
  <si>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</si>
  <si>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</si>
  <si>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</si>
  <si>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</si>
  <si>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</si>
  <si>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</si>
  <si>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</si>
  <si>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</si>
  <si>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</si>
  <si>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</si>
  <si>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</si>
  <si>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</si>
  <si>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</si>
  <si>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</si>
  <si>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</si>
  <si>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</si>
  <si>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</si>
  <si>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</si>
  <si>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</si>
  <si>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</si>
  <si>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</si>
  <si>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</si>
  <si>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</si>
  <si>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</si>
  <si>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</si>
  <si>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</si>
  <si>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</si>
  <si>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</si>
  <si>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</si>
  <si>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</si>
  <si>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</si>
  <si>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</si>
  <si>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</si>
  <si>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</si>
  <si>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</si>
  <si>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</si>
  <si>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</si>
  <si>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</si>
  <si>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</si>
  <si>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</si>
  <si>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</si>
  <si>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</si>
  <si>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</si>
  <si>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</si>
  <si>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</si>
  <si>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</si>
  <si>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</si>
  <si>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</si>
  <si>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</si>
  <si>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</si>
  <si>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</si>
  <si>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</si>
  <si>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</si>
  <si>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</si>
  <si>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</si>
  <si>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</si>
  <si>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</si>
  <si>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</si>
  <si>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</si>
  <si>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</si>
  <si>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</si>
  <si>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</si>
  <si>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</si>
  <si>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</si>
  <si>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</si>
  <si>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</si>
  <si>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</si>
  <si>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</si>
  <si>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</si>
  <si>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</si>
  <si>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</si>
  <si>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</si>
  <si>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</si>
  <si>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</si>
  <si>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</si>
  <si>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</si>
  <si>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</si>
  <si>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</si>
  <si>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</si>
  <si>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</si>
  <si>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</si>
  <si>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</si>
  <si>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</si>
  <si>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</si>
  <si>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</si>
  <si>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</si>
  <si>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</si>
  <si>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</si>
  <si>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</si>
  <si>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</si>
  <si>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</si>
  <si>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</si>
  <si>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</si>
  <si>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</si>
  <si>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</si>
  <si>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</si>
  <si>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</si>
  <si>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</si>
  <si>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</si>
  <si>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</si>
  <si>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</si>
  <si>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</si>
  <si>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</si>
  <si>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</si>
  <si>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</si>
  <si>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</si>
  <si>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</si>
  <si>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</si>
  <si>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</si>
  <si>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</si>
  <si>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</si>
  <si>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</si>
  <si>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</si>
  <si>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</si>
  <si>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</si>
  <si>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</si>
  <si>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</si>
  <si>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</si>
  <si>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</si>
  <si>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</si>
  <si>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</si>
  <si>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</si>
  <si>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</si>
  <si>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</si>
  <si>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</si>
  <si>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</si>
  <si>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</si>
  <si>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</si>
  <si>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</si>
  <si>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</si>
  <si>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</si>
  <si>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</si>
  <si>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</si>
  <si>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</si>
  <si>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</si>
  <si>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</si>
  <si>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</si>
  <si>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</si>
  <si>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</si>
  <si>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</si>
  <si>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</si>
  <si>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</si>
  <si>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</si>
  <si>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</si>
  <si>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</si>
  <si>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</si>
  <si>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</si>
  <si>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</si>
  <si>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</si>
  <si>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</si>
  <si>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</si>
  <si>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</si>
  <si>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</si>
  <si>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</si>
  <si>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</si>
  <si>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</si>
  <si>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</si>
  <si>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</si>
  <si>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</si>
  <si>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</si>
  <si>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</si>
  <si>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</si>
  <si>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</si>
  <si>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</si>
  <si>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</si>
  <si>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</si>
  <si>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</si>
  <si>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</si>
  <si>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</si>
  <si>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</si>
  <si>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</si>
  <si>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</si>
  <si>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</si>
  <si>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</si>
  <si>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</si>
  <si>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</si>
  <si>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</si>
  <si>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</si>
  <si>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</si>
  <si>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</si>
  <si>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</si>
  <si>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</si>
  <si>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</si>
  <si>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</si>
  <si>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</si>
  <si>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</si>
  <si>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</si>
  <si>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</si>
  <si>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</si>
  <si>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</si>
  <si>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</si>
  <si>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</si>
  <si>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</si>
  <si>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</si>
  <si>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</si>
  <si>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</si>
  <si>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</si>
  <si>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</si>
  <si>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</si>
  <si>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</si>
  <si>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</si>
  <si>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</si>
  <si>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</si>
  <si>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</si>
  <si>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</si>
  <si>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</si>
  <si>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</si>
  <si>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</si>
  <si>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</si>
  <si>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</si>
  <si>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</si>
  <si>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</si>
  <si>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</si>
  <si>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</si>
  <si>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</si>
  <si>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</si>
  <si>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</si>
  <si>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</si>
  <si>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</si>
  <si>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</si>
  <si>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</si>
  <si>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</si>
  <si>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</si>
  <si>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</si>
  <si>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</si>
  <si>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</si>
  <si>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</si>
  <si>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</si>
  <si>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</si>
  <si>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</si>
  <si>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</si>
  <si>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</si>
  <si>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</si>
  <si>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</si>
  <si>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</si>
  <si>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</si>
  <si>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</si>
  <si>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</si>
  <si>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</si>
  <si>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</si>
  <si>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</si>
  <si>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</si>
  <si>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</si>
  <si>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</si>
  <si>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</si>
  <si>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</si>
  <si>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</si>
  <si>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</si>
  <si>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</si>
  <si>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</si>
  <si>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</si>
  <si>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</si>
  <si>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</si>
  <si>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</si>
  <si>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</si>
  <si>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</si>
  <si>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</si>
  <si>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</si>
  <si>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</si>
  <si>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</si>
  <si>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</si>
  <si>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</si>
  <si>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</si>
  <si>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</si>
  <si>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</si>
  <si>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</si>
  <si>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</si>
  <si>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</si>
  <si>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</si>
  <si>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</si>
  <si>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</si>
  <si>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</si>
  <si>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</si>
  <si>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</si>
  <si>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</si>
  <si>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</si>
  <si>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</si>
  <si>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</si>
  <si>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</si>
  <si>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</si>
  <si>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</si>
  <si>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</si>
  <si>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</si>
  <si>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</si>
  <si>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</si>
  <si>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</si>
  <si>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</si>
  <si>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</si>
  <si>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</si>
  <si>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</si>
  <si>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</si>
  <si>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</si>
  <si>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</si>
  <si>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</si>
  <si>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</si>
  <si>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</si>
  <si>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</si>
  <si>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</si>
  <si>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</si>
  <si>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</si>
  <si>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</si>
  <si>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</si>
  <si>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</si>
  <si>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</si>
  <si>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</si>
  <si>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</si>
  <si>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</si>
  <si>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</si>
  <si>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</si>
  <si>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</si>
  <si>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</si>
  <si>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</si>
  <si>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</si>
  <si>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</si>
  <si>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</si>
  <si>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</si>
  <si>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</si>
  <si>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</si>
  <si>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</si>
  <si>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</si>
  <si>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</si>
  <si>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</si>
  <si>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</si>
  <si>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</si>
  <si>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</si>
  <si>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</si>
  <si>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</si>
  <si>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</si>
  <si>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</si>
  <si>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</si>
  <si>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</si>
  <si>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</si>
  <si>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</si>
  <si>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</si>
  <si>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</si>
  <si>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</si>
  <si>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</si>
  <si>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</si>
  <si>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</si>
  <si>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</si>
  <si>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</si>
  <si>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</si>
  <si>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</si>
  <si>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</si>
  <si>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</si>
  <si>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</si>
  <si>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</si>
  <si>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</si>
  <si>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</si>
  <si>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</si>
  <si>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</si>
  <si>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</si>
  <si>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</si>
  <si>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</si>
  <si>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</si>
  <si>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</si>
  <si>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</si>
  <si>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</si>
  <si>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</si>
  <si>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</si>
  <si>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</si>
  <si>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</si>
  <si>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</si>
  <si>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</si>
  <si>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</si>
  <si>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</si>
  <si>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</si>
  <si>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</si>
  <si>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</si>
  <si>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</si>
  <si>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</si>
  <si>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</si>
  <si>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</si>
  <si>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</si>
  <si>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</si>
  <si>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</si>
  <si>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</si>
  <si>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</si>
  <si>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</si>
  <si>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</si>
  <si>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</si>
  <si>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</si>
  <si>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</si>
  <si>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</si>
  <si>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</si>
  <si>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</si>
  <si>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</si>
  <si>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</si>
  <si>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</si>
  <si>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</si>
  <si>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</si>
  <si>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</si>
  <si>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</si>
  <si>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</si>
  <si>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</si>
  <si>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</si>
  <si>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</si>
  <si>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</si>
  <si>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</si>
  <si>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</si>
  <si>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</si>
  <si>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</si>
  <si>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</si>
  <si>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</si>
  <si>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</si>
  <si>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</si>
  <si>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</si>
  <si>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</si>
  <si>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</si>
  <si>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</si>
  <si>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</si>
  <si>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</si>
  <si>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</si>
  <si>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</si>
  <si>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</si>
  <si>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</si>
  <si>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</si>
  <si>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</si>
  <si>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</si>
  <si>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</si>
  <si>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</si>
  <si>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</si>
  <si>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</si>
  <si>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</si>
  <si>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</si>
  <si>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</si>
  <si>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</si>
  <si>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</si>
  <si>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</si>
  <si>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</si>
  <si>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</si>
  <si>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</si>
  <si>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</si>
  <si>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</si>
  <si>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</si>
  <si>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</si>
  <si>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</si>
  <si>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</si>
  <si>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</si>
  <si>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</si>
  <si>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</si>
  <si>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</si>
  <si>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</si>
  <si>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</si>
  <si>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</si>
  <si>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</si>
  <si>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</si>
  <si>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</si>
  <si>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</si>
  <si>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</si>
  <si>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</si>
  <si>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</si>
  <si>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</si>
  <si>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</si>
  <si>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</si>
  <si>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</si>
  <si>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</si>
  <si>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</si>
  <si>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</si>
  <si>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</si>
  <si>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</si>
  <si>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</si>
  <si>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</si>
  <si>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</si>
  <si>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</si>
  <si>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</si>
  <si>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</si>
  <si>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</si>
  <si>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</si>
  <si>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</si>
  <si>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</si>
  <si>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</si>
  <si>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</si>
  <si>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</si>
  <si>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</si>
  <si>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</si>
  <si>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</si>
  <si>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</si>
  <si>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</si>
  <si>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</si>
  <si>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</si>
  <si>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</si>
  <si>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</si>
  <si>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</si>
  <si>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</si>
  <si>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</si>
  <si>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</si>
  <si>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</si>
  <si>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</si>
  <si>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</si>
  <si>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</si>
  <si>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</si>
  <si>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</si>
  <si>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</si>
  <si>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</si>
  <si>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</si>
  <si>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</si>
  <si>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</si>
  <si>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</si>
  <si>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</si>
  <si>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</si>
  <si>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</si>
  <si>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</si>
  <si>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</si>
  <si>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</si>
  <si>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</si>
  <si>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</si>
  <si>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</si>
  <si>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</si>
  <si>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</si>
  <si>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</si>
  <si>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</si>
  <si>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</si>
  <si>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</si>
  <si>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</si>
  <si>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</si>
  <si>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</si>
  <si>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</si>
  <si>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</si>
  <si>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</si>
  <si>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</si>
  <si>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</si>
  <si>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</si>
  <si>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</si>
  <si>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</si>
  <si>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</si>
  <si>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</si>
  <si>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</si>
  <si>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</si>
  <si>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</si>
  <si>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</si>
  <si>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</si>
  <si>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</si>
  <si>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</si>
  <si>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</si>
  <si>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</si>
  <si>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</si>
  <si>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</si>
  <si>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</si>
  <si>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</si>
  <si>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</si>
  <si>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</si>
  <si>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</si>
  <si>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</si>
  <si>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</si>
  <si>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</si>
  <si>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</si>
  <si>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</si>
  <si>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</si>
  <si>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</si>
  <si>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</si>
  <si>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</si>
  <si>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</si>
  <si>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</si>
  <si>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</si>
  <si>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</si>
  <si>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</si>
  <si>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</si>
  <si>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</si>
  <si>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</si>
  <si>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</si>
  <si>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</si>
  <si>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</si>
  <si>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</si>
  <si>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</si>
  <si>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</si>
  <si>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</si>
  <si>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</si>
  <si>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</si>
  <si>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</si>
  <si>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</si>
  <si>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</si>
  <si>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</si>
  <si>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</si>
  <si>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</si>
  <si>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</si>
  <si>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</si>
  <si>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</si>
  <si>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</si>
  <si>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</si>
  <si>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</si>
  <si>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</si>
  <si>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</si>
  <si>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</si>
  <si>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</si>
  <si>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</si>
  <si>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</si>
  <si>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</si>
  <si>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</si>
  <si>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</si>
  <si>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</si>
  <si>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</si>
  <si>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</si>
  <si>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</si>
  <si>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</si>
  <si>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</si>
  <si>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</si>
  <si>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</si>
  <si>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</si>
  <si>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</si>
  <si>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</si>
  <si>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</si>
  <si>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</si>
  <si>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</si>
  <si>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</si>
  <si>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</si>
  <si>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</si>
  <si>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</si>
  <si>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</si>
  <si>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</si>
  <si>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</si>
  <si>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</si>
  <si>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</si>
  <si>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</si>
  <si>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</si>
  <si>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</si>
  <si>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</si>
  <si>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</si>
  <si>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</si>
  <si>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</si>
  <si>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</si>
  <si>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</si>
  <si>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</si>
  <si>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</si>
  <si>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</si>
  <si>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</si>
  <si>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</si>
  <si>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</si>
  <si>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</si>
  <si>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</si>
  <si>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</si>
  <si>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</si>
  <si>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</si>
  <si>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</si>
  <si>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</si>
  <si>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</si>
  <si>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</si>
  <si>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</si>
  <si>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</si>
  <si>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</si>
  <si>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</si>
  <si>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</si>
  <si>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</si>
  <si>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</si>
  <si>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</si>
  <si>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</si>
  <si>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</si>
  <si>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</si>
  <si>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</si>
  <si>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</si>
  <si>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</si>
  <si>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</si>
  <si>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</si>
  <si>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</si>
  <si>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</si>
  <si>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</si>
  <si>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</si>
  <si>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</si>
  <si>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</si>
  <si>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</si>
  <si>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</si>
  <si>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</si>
  <si>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</si>
  <si>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</si>
  <si>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</si>
  <si>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</si>
  <si>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</si>
  <si>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</si>
  <si>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</si>
  <si>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</si>
  <si>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</si>
  <si>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</si>
  <si>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</si>
  <si>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</si>
  <si>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</si>
  <si>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</si>
  <si>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</si>
  <si>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</si>
  <si>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</si>
  <si>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</si>
  <si>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</si>
  <si>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</si>
  <si>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</si>
  <si>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</si>
  <si>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</si>
  <si>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</si>
  <si>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</si>
  <si>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</si>
  <si>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</si>
  <si>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</si>
  <si>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</si>
  <si>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</si>
  <si>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</si>
  <si>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</si>
  <si>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</si>
  <si>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</si>
  <si>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</si>
  <si>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</si>
  <si>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</si>
  <si>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</si>
  <si>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</si>
  <si>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</si>
  <si>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</si>
  <si>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</si>
  <si>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</si>
  <si>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</si>
  <si>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</si>
  <si>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</si>
  <si>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</si>
  <si>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</si>
  <si>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</si>
  <si>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</si>
  <si>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</si>
  <si>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</si>
  <si>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</si>
  <si>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</si>
  <si>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</si>
  <si>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</si>
  <si>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</si>
  <si>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</si>
  <si>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</si>
  <si>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</si>
  <si>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</si>
  <si>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</si>
  <si>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</si>
  <si>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</si>
  <si>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</si>
  <si>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</si>
  <si>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</si>
  <si>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</si>
  <si>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</si>
  <si>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</si>
  <si>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</si>
  <si>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</si>
  <si>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</si>
  <si>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</si>
  <si>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</si>
  <si>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</si>
  <si>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</si>
  <si>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</si>
  <si>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</si>
  <si>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</si>
  <si>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</si>
  <si>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</si>
  <si>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</si>
  <si>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</si>
  <si>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</si>
  <si>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</si>
  <si>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</si>
  <si>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</si>
  <si>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</si>
  <si>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</si>
  <si>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</si>
  <si>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</si>
  <si>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</si>
  <si>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</si>
  <si>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</si>
  <si>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</si>
  <si>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</si>
  <si>
    <t>Capex parity converter per vehicle tech fuel and 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</si>
</sst>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 #,##0.00_-;_-* &quot;-&quot;??_-;_-@_-"/>
    <numFmt numFmtId="164" formatCode="_(* #,##0.00_);_(* \(#,##0.00\);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7"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
      <b/>
      <sz val="9"/>
      <color rgb="FFFF0066"/>
      <name val="Arial"/>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164"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43"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75">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164"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164"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164"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164"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43"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164"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164"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6" fillId="0" borderId="27" xfId="5" applyNumberFormat="1" applyFill="1" applyBorder="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164"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164"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164"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43"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164"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75" fontId="7" fillId="0" borderId="82" xfId="7" applyNumberFormat="1" applyFill="1" applyBorder="1"/>
    <xf numFmtId="169" fontId="0" fillId="0" borderId="0" xfId="1" applyNumberFormat="1" applyFont="1" applyFill="1" applyBorder="1"/>
    <xf numFmtId="175" fontId="0" fillId="0" borderId="0" xfId="1" applyNumberFormat="1" applyFont="1" applyFill="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169" fontId="3" fillId="0" borderId="0" xfId="17" applyNumberFormat="1"/>
    <xf numFmtId="170" fontId="10" fillId="0" borderId="0" xfId="1" applyNumberFormat="1" applyFont="1" applyFill="1" applyBorder="1"/>
    <xf numFmtId="0" fontId="10" fillId="0" borderId="0" xfId="1" applyNumberFormat="1" applyFont="1" applyFill="1" applyBorder="1"/>
    <xf numFmtId="169" fontId="10" fillId="0" borderId="0" xfId="0" applyNumberFormat="1" applyFont="1"/>
    <xf numFmtId="2" fontId="10" fillId="0" borderId="0" xfId="0" applyNumberFormat="1" applyFont="1"/>
    <xf numFmtId="167" fontId="10" fillId="0" borderId="0" xfId="2" applyNumberFormat="1" applyFont="1" applyFill="1" applyBorder="1"/>
    <xf numFmtId="0" fontId="6" fillId="0" borderId="0" xfId="5" applyNumberFormat="1" applyFill="1" applyBorder="1"/>
    <xf numFmtId="169" fontId="6" fillId="0" borderId="0" xfId="5" applyNumberFormat="1" applyFill="1" applyBorder="1"/>
    <xf numFmtId="168" fontId="0" fillId="0" borderId="0" xfId="1" applyNumberFormat="1" applyFont="1" applyFill="1" applyBorder="1"/>
    <xf numFmtId="0" fontId="40" fillId="0" borderId="14" xfId="0" applyNumberFormat="1" applyFont="1" applyBorder="1"/>
    <xf numFmtId="0" fontId="40" fillId="0" borderId="0" xfId="1" applyNumberFormat="1" applyFont="1" applyFill="1" applyBorder="1"/>
    <xf numFmtId="175" fontId="40" fillId="0" borderId="0" xfId="0" applyNumberFormat="1" applyFont="1"/>
    <xf numFmtId="167" fontId="40" fillId="0" borderId="0" xfId="2" applyNumberFormat="1" applyFont="1" applyFill="1" applyBorder="1"/>
    <xf numFmtId="0" fontId="40"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 fillId="0" borderId="0" xfId="91" applyFont="1"/>
    <xf numFmtId="0" fontId="130" fillId="0" borderId="0" xfId="91" applyFont="1"/>
    <xf numFmtId="194" fontId="130" fillId="0" borderId="0" xfId="91" applyNumberFormat="1" applyFont="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xf numFmtId="165" fontId="56" fillId="35" borderId="52" xfId="0" applyFont="1" applyFill="1" applyBorder="1"/>
    <xf numFmtId="165" fontId="61" fillId="31" borderId="0" xfId="0" applyFont="1" applyFill="1" applyProtection="1">
      <protection locked="0"/>
    </xf>
    <xf numFmtId="0" fontId="46" fillId="0" borderId="51" xfId="21" applyFont="1" applyBorder="1" applyAlignment="1">
      <alignment horizontal="left" vertical="top"/>
    </xf>
    <xf numFmtId="1" fontId="46" fillId="33" borderId="51" xfId="21" applyNumberFormat="1" applyFont="1" applyFill="1" applyBorder="1" applyAlignment="1">
      <alignment vertical="top"/>
    </xf>
    <xf numFmtId="1" fontId="46" fillId="33" borderId="52" xfId="21" applyNumberFormat="1" applyFont="1" applyFill="1" applyBorder="1" applyAlignment="1">
      <alignment vertical="top"/>
    </xf>
    <xf numFmtId="1" fontId="46" fillId="33" borderId="53" xfId="21" applyNumberFormat="1" applyFont="1" applyFill="1" applyBorder="1" applyAlignment="1">
      <alignment vertical="top"/>
    </xf>
    <xf numFmtId="1" fontId="0" fillId="33" borderId="51" xfId="0" applyNumberFormat="1" applyFill="1" applyBorder="1"/>
    <xf numFmtId="1" fontId="0" fillId="33" borderId="52" xfId="0" applyNumberFormat="1" applyFill="1" applyBorder="1"/>
    <xf numFmtId="1" fontId="0" fillId="33" borderId="53" xfId="0" applyNumberFormat="1" applyFill="1" applyBorder="1"/>
    <xf numFmtId="0" fontId="133" fillId="0" borderId="0" xfId="0" applyNumberFormat="1" applyFont="1" applyAlignment="1">
      <alignment wrapText="1"/>
    </xf>
    <xf numFmtId="0" fontId="136" fillId="24" borderId="16" xfId="21" applyFont="1" applyFill="1" applyBorder="1" applyAlignment="1">
      <alignment horizontal="center" vertical="top"/>
    </xf>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data-proc2023'!$AD$20:$AJ$20</c15:sqref>
                  </c15:fullRef>
                </c:ext>
              </c:extLst>
              <c:f>'Vehicle data-proc2023'!$AE$20:$AJ$20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data-proc2023'!$AD$21:$AJ$21</c15:sqref>
                  </c15:fullRef>
                </c:ext>
              </c:extLst>
              <c:f>'Vehicle data-proc2023'!$AE$21:$AJ$21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data-proc2023'!$AD$22:$AJ$22</c15:sqref>
                  </c15:fullRef>
                </c:ext>
              </c:extLst>
              <c:f>'Vehicle data-proc2023'!$AE$22:$AJ$22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data-proc2023'!$AD$23:$AJ$23</c15:sqref>
                  </c15:fullRef>
                </c:ext>
              </c:extLst>
              <c:f>'Vehicle data-proc2023'!$AE$23:$AJ$23</c:f>
              <c:numCache>
                <c:formatCode>_(* #,##0_);_(* \(#,##0\);_(* "-"??_);_(@_)</c:formatCode>
                <c:ptCount val="6"/>
                <c:pt idx="0">
                  <c:v>440435.38283569075</c:v>
                </c:pt>
                <c:pt idx="1">
                  <c:v>436635.14806228853</c:v>
                </c:pt>
                <c:pt idx="2">
                  <c:v>432834.91328888631</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data-proc2023'!$AD$24:$AJ$24</c15:sqref>
                  </c15:fullRef>
                </c:ext>
              </c:extLst>
              <c:f>'Vehicle data-proc2023'!$AE$24:$AJ$24</c:f>
              <c:numCache>
                <c:formatCode>_(* #,##0_);_(* \(#,##0\);_(* "-"??_);_(@_)</c:formatCode>
                <c:ptCount val="6"/>
                <c:pt idx="0">
                  <c:v>660653.07425353606</c:v>
                </c:pt>
                <c:pt idx="1">
                  <c:v>655423.85807417962</c:v>
                </c:pt>
                <c:pt idx="2">
                  <c:v>650194.64189482306</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data-proc2023'!$AD$25:$AJ$25</c15:sqref>
                  </c15:fullRef>
                </c:ext>
              </c:extLst>
              <c:f>'Vehicle data-proc2023'!$AE$25:$AJ$25</c:f>
              <c:numCache>
                <c:formatCode>_(* #,##0_);_(* \(#,##0\);_(* "-"??_);_(@_)</c:formatCode>
                <c:ptCount val="6"/>
                <c:pt idx="0">
                  <c:v>585779.0591714686</c:v>
                </c:pt>
                <c:pt idx="1">
                  <c:v>567630.06516271632</c:v>
                </c:pt>
                <c:pt idx="2">
                  <c:v>549481.07115396392</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data-proc2023'!$AD$26:$AJ$26</c15:sqref>
                  </c15:fullRef>
                </c:ext>
              </c:extLst>
              <c:f>'Vehicle data-proc2023'!$AE$26:$AJ$26</c:f>
              <c:numCache>
                <c:formatCode>_(* #,##0_);_(* \(#,##0\);_(* "-"??_);_(@_)</c:formatCode>
                <c:ptCount val="6"/>
                <c:pt idx="0">
                  <c:v>878668.58875720296</c:v>
                </c:pt>
                <c:pt idx="1">
                  <c:v>851972.15227518079</c:v>
                </c:pt>
                <c:pt idx="2">
                  <c:v>825275.71579315851</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data-proc2023'!$AD$27:$AJ$27</c15:sqref>
                  </c15:fullRef>
                </c:ext>
              </c:extLst>
              <c:f>'Vehicle data-proc2023'!$AE$27:$AJ$27</c:f>
              <c:numCache>
                <c:formatCode>_(* #,##0_);_(* \(#,##0\);_(* "-"??_);_(@_)</c:formatCode>
                <c:ptCount val="6"/>
                <c:pt idx="0">
                  <c:v>1465847.8295627148</c:v>
                </c:pt>
                <c:pt idx="1">
                  <c:v>1339851.5427458035</c:v>
                </c:pt>
                <c:pt idx="2">
                  <c:v>1213855.2559288922</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data-proc2023'!$AD$28:$AJ$28</c15:sqref>
                  </c15:fullRef>
                </c:ext>
              </c:extLst>
              <c:f>'Vehicle data-proc2023'!$AE$28:$AJ$28</c:f>
              <c:numCache>
                <c:formatCode>_(* #,##0_);_(* \(#,##0\);_(* "-"??_);_(@_)</c:formatCode>
                <c:ptCount val="6"/>
                <c:pt idx="0">
                  <c:v>2198771.7443440724</c:v>
                </c:pt>
                <c:pt idx="1">
                  <c:v>1677376.0685646401</c:v>
                </c:pt>
                <c:pt idx="2">
                  <c:v>1155980.3927852078</c:v>
                </c:pt>
                <c:pt idx="3">
                  <c:v>1094147.4529170424</c:v>
                </c:pt>
                <c:pt idx="4">
                  <c:v>1032314.5130488771</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data-proc2023'!$AD$16:$AJ$16</c15:sqref>
                  </c15:fullRef>
                </c:ext>
              </c:extLst>
              <c:f>'Vehicle data-proc2023'!$AE$16:$AJ$16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data-proc2023'!$AD$29:$AJ$29</c15:sqref>
                  </c15:fullRef>
                </c:ext>
              </c:extLst>
              <c:f>'Vehicle data-proc2023'!$AE$29:$AJ$29</c:f>
              <c:numCache>
                <c:formatCode>_(* #,##0_);_(* \(#,##0\);_(* "-"??_);_(@_)</c:formatCode>
                <c:ptCount val="6"/>
                <c:pt idx="0">
                  <c:v>396599.43072780268</c:v>
                </c:pt>
                <c:pt idx="1">
                  <c:v>400607.99761902145</c:v>
                </c:pt>
                <c:pt idx="2">
                  <c:v>404616.56451024022</c:v>
                </c:pt>
                <c:pt idx="3">
                  <c:v>407703.15451742715</c:v>
                </c:pt>
                <c:pt idx="4">
                  <c:v>410789.74452461401</c:v>
                </c:pt>
                <c:pt idx="5">
                  <c:v>414211.03231367638</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data-proc2023'!$AD$115:$AJ$115</c:f>
              <c:numCache>
                <c:formatCode>0</c:formatCode>
                <c:ptCount val="7"/>
                <c:pt idx="0">
                  <c:v>2010</c:v>
                </c:pt>
                <c:pt idx="1">
                  <c:v>2018</c:v>
                </c:pt>
                <c:pt idx="2">
                  <c:v>2020</c:v>
                </c:pt>
                <c:pt idx="3">
                  <c:v>2030</c:v>
                </c:pt>
                <c:pt idx="4">
                  <c:v>2040</c:v>
                </c:pt>
                <c:pt idx="5">
                  <c:v>2050</c:v>
                </c:pt>
              </c:numCache>
            </c:numRef>
          </c:xVal>
          <c:yVal>
            <c:numRef>
              <c:f>'Vehicle data-proc2023'!$AD$116:$AJ$116</c:f>
              <c:numCache>
                <c:formatCode>0.0000</c:formatCode>
                <c:ptCount val="7"/>
                <c:pt idx="0">
                  <c:v>9.7268274932078516</c:v>
                </c:pt>
                <c:pt idx="1">
                  <c:v>2.0232263513513513</c:v>
                </c:pt>
                <c:pt idx="2">
                  <c:v>6.098467953773909</c:v>
                </c:pt>
                <c:pt idx="3">
                  <c:v>4.8837511872228205</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data-proc2023'!$AI$1</c:f>
              <c:strCache>
                <c:ptCount val="1"/>
                <c:pt idx="0">
                  <c:v>PAS</c:v>
                </c:pt>
              </c:strCache>
            </c:strRef>
          </c:tx>
          <c:spPr>
            <a:ln w="28575" cap="rnd">
              <a:solidFill>
                <a:schemeClr val="accent1"/>
              </a:solidFill>
              <a:round/>
            </a:ln>
            <a:effectLst/>
          </c:spPr>
          <c:marker>
            <c:symbol val="none"/>
          </c:marker>
          <c:cat>
            <c:numRef>
              <c:f>'Vehicle data-proc2023'!$AL$16:$AP$16</c:f>
              <c:numCache>
                <c:formatCode>General</c:formatCode>
                <c:ptCount val="5"/>
                <c:pt idx="0">
                  <c:v>2017</c:v>
                </c:pt>
                <c:pt idx="1">
                  <c:v>2020</c:v>
                </c:pt>
                <c:pt idx="2">
                  <c:v>2030</c:v>
                </c:pt>
                <c:pt idx="3">
                  <c:v>2040</c:v>
                </c:pt>
                <c:pt idx="4">
                  <c:v>2050</c:v>
                </c:pt>
              </c:numCache>
            </c:numRef>
          </c:cat>
          <c:val>
            <c:numRef>
              <c:f>'Vehicle data-proc2023'!$AL$1:$AP$1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data-proc2023'!$AI$2</c:f>
              <c:strCache>
                <c:ptCount val="1"/>
                <c:pt idx="0">
                  <c:v>FRE</c:v>
                </c:pt>
              </c:strCache>
            </c:strRef>
          </c:tx>
          <c:spPr>
            <a:ln w="28575" cap="rnd">
              <a:solidFill>
                <a:schemeClr val="accent2"/>
              </a:solidFill>
              <a:round/>
            </a:ln>
            <a:effectLst/>
          </c:spPr>
          <c:marker>
            <c:symbol val="none"/>
          </c:marker>
          <c:val>
            <c:numRef>
              <c:f>'Vehicle data-proc2023'!$AL$2:$AP$2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data-proc2023'!$AK$20</c:f>
              <c:strCache>
                <c:ptCount val="1"/>
                <c:pt idx="0">
                  <c:v> CAROGS </c:v>
                </c:pt>
              </c:strCache>
            </c:strRef>
          </c:tx>
          <c:spPr>
            <a:ln w="28575" cap="rnd">
              <a:solidFill>
                <a:schemeClr val="accent1"/>
              </a:solidFill>
              <a:round/>
            </a:ln>
            <a:effectLst/>
          </c:spPr>
          <c:marker>
            <c:symbol val="none"/>
          </c:marker>
          <c:val>
            <c:numRef>
              <c:f>'Vehicle data-proc2023'!$AZ$20:$BD$20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data-proc2023'!$AK$96</c:f>
              <c:strCache>
                <c:ptCount val="1"/>
                <c:pt idx="0">
                  <c:v> CV6ODS </c:v>
                </c:pt>
              </c:strCache>
            </c:strRef>
          </c:tx>
          <c:spPr>
            <a:ln w="28575" cap="rnd">
              <a:solidFill>
                <a:srgbClr val="C00000"/>
              </a:solidFill>
              <a:round/>
            </a:ln>
            <a:effectLst/>
          </c:spPr>
          <c:marker>
            <c:symbol val="none"/>
          </c:marker>
          <c:val>
            <c:numRef>
              <c:f>'Vehicle data-proc2023'!$AZ$96:$BD$96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30</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35</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321368</xdr:colOff>
      <xdr:row>1</xdr:row>
      <xdr:rowOff>108857</xdr:rowOff>
    </xdr:from>
    <xdr:to>
      <xdr:col>50</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31</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58</xdr:col>
      <xdr:colOff>515753</xdr:colOff>
      <xdr:row>0</xdr:row>
      <xdr:rowOff>0</xdr:rowOff>
    </xdr:from>
    <xdr:to>
      <xdr:col>71</xdr:col>
      <xdr:colOff>244930</xdr:colOff>
      <xdr:row>18</xdr:row>
      <xdr:rowOff>560178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63</xdr:col>
      <xdr:colOff>40822</xdr:colOff>
      <xdr:row>1</xdr:row>
      <xdr:rowOff>95250</xdr:rowOff>
    </xdr:from>
    <xdr:to>
      <xdr:col>74</xdr:col>
      <xdr:colOff>463600</xdr:colOff>
      <xdr:row>20</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50</xdr:col>
      <xdr:colOff>136071</xdr:colOff>
      <xdr:row>21</xdr:row>
      <xdr:rowOff>54429</xdr:rowOff>
    </xdr:from>
    <xdr:to>
      <xdr:col>57</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row r="33">
          <cell r="J33">
            <v>1.641128256</v>
          </cell>
        </row>
      </sheetData>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4.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V19" dT="2023-09-19T14:45:24.16" personId="{E9290C55-13E6-48AF-BF49-53655B7185FF}" id="{9E8C28E8-1EF5-4168-8CAC-1B464E32FBF2}">
    <text>Should be multiple of 5</text>
  </threadedComment>
</ThreadedComments>
</file>

<file path=xl/threadedComments/threadedComment7.xml><?xml version="1.0" encoding="utf-8"?>
<ThreadedComments xmlns="http://schemas.microsoft.com/office/spreadsheetml/2018/threadedcomments" xmlns:x="http://schemas.openxmlformats.org/spreadsheetml/2006/main">
  <threadedComment ref="X23" dT="2023-09-19T14:49:28.17" personId="{E9290C55-13E6-48AF-BF49-53655B7185FF}" id="{B91C91E8-4285-4F9B-92CE-677D1E14B3EB}">
    <text>Adjusted</text>
  </threadedComment>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6" Type="http://schemas.microsoft.com/office/2017/10/relationships/threadedComment" Target="../threadedComments/threadedComment6.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7.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C58" workbookViewId="0">
      <selection activeCell="P74" sqref="P74"/>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966" t="s">
        <v>1119</v>
      </c>
      <c r="C1" s="966"/>
      <c r="D1" s="966"/>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5">
        <f t="array" ref="O74">IFERROR(INDEX(Analytica!$F$17:$AS$49,MATCH(TRP!$B74,Analytica!$B$17:$B$49,0),MATCH(TRP!O$59&amp;TRP!O$57,Analytica!$F$16:$AR$16&amp;Analytica!$F$13:$AR$13,0)),"")</f>
        <v>0.06</v>
      </c>
      <c r="P74" s="644" cm="1">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opLeftCell="A17" workbookViewId="0">
      <selection activeCell="Q20" sqref="Q20"/>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966" t="s">
        <v>1119</v>
      </c>
      <c r="C1" s="966"/>
      <c r="D1" s="966"/>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496.02431464990411</v>
      </c>
      <c r="R18" s="637">
        <f t="array" ref="R18">IFERROR(INDEX(Analytica!$F$59:$AY$132,MATCH($B18,Analytica!$B$59:$B$162,0),MATCH(R$15&amp;R$10,Analytica!$F$58:$AY$58&amp;Analytica!$F$51:'Analytica'!$AY$51,0)),"")</f>
        <v>504.86263896951328</v>
      </c>
      <c r="S18" s="637">
        <f t="array" ref="S18">IFERROR(INDEX(Analytica!$F$59:$AY$132,MATCH($B18,Analytica!$B$59:$B$162,0),MATCH(S$15&amp;S$10,Analytica!$F$58:$AY$58&amp;Analytica!$F$51:'Analytica'!$AY$51,0)),"")</f>
        <v>363.56136717159279</v>
      </c>
      <c r="T18" s="637">
        <f t="array" ref="T18">IFERROR(INDEX(Analytica!$F$59:$AY$132,MATCH($B18,Analytica!$B$59:$B$162,0),MATCH(T$15&amp;T$10,Analytica!$F$58:$AY$58&amp;Analytica!$F$51:'Analytica'!$AY$51,0)),"")</f>
        <v>371.50085823323019</v>
      </c>
      <c r="U18" s="637">
        <f t="array" ref="U18">IFERROR(INDEX(Analytica!$F$59:$AY$132,MATCH($B18,Analytica!$B$59:$B$162,0),MATCH(U$15&amp;U$10,Analytica!$F$58:$AY$58&amp;Analytica!$F$51:'Analytica'!$AY$51,0)),"")</f>
        <v>379.44034929486759</v>
      </c>
      <c r="V18" s="637">
        <f t="array" ref="V18">IFERROR(INDEX(Analytica!$F$59:$AY$132,MATCH($B18,Analytica!$B$59:$B$162,0),MATCH(V$15&amp;V$10,Analytica!$F$58:$AY$58&amp;Analytica!$F$51:'Analytica'!$AY$51,0)),"")</f>
        <v>387.39622422821134</v>
      </c>
      <c r="W18" s="637">
        <f t="array" ref="W18">IFERROR(INDEX(Analytica!$F$59:$AY$132,MATCH($B18,Analytica!$B$59:$B$162,0),MATCH(W$15&amp;W$10,Analytica!$F$58:$AY$58&amp;Analytica!$F$51:'Analytica'!$AY$51,0)),"")</f>
        <v>13.392656495547412</v>
      </c>
      <c r="X18" s="637">
        <f t="array" ref="X18">IFERROR(INDEX(Analytica!$F$59:$AY$132,MATCH($B18,Analytica!$B$59:$B$162,0),MATCH(X$15&amp;X$10,Analytica!$F$58:$AY$58&amp;Analytica!$F$51:'Analytica'!$AY$51,0)),"")</f>
        <v>9.8161569136330051</v>
      </c>
      <c r="Y18" s="637">
        <f t="array" ref="Y18">IFERROR(INDEX(Analytica!$F$59:$AY$132,MATCH($B18,Analytica!$B$59:$B$162,0),MATCH(Y$15&amp;Y$10,Analytica!$F$58:$AY$58&amp;Analytica!$F$51:'Analytica'!$AY$51,0)),"")</f>
        <v>10.244889430961425</v>
      </c>
      <c r="Z18" s="637">
        <f t="array" ref="Z18">IFERROR(INDEX(Analytica!$F$59:$AY$132,MATCH($B18,Analytica!$B$59:$B$162,0),MATCH(Z$15&amp;Z$10,Analytica!$F$58:$AY$58&amp;Analytica!$F$51:'Analytica'!$AY$51,0)),"")</f>
        <v>10.459698054161706</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09/21/2023 12:20:17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350.63787759734595</v>
      </c>
      <c r="R19" s="637">
        <f t="array" ref="R19">IFERROR(INDEX(Analytica!$F$59:$AY$132,MATCH($B19,Analytica!$B$59:$B$162,0),MATCH(R$15&amp;R$10,Analytica!$F$58:$AY$58&amp;Analytica!$F$51:'Analytica'!$AY$51,0)),"")</f>
        <v>357.09962238446946</v>
      </c>
      <c r="S19" s="637">
        <f t="array" ref="S19">IFERROR(INDEX(Analytica!$F$59:$AY$132,MATCH($B19,Analytica!$B$59:$B$162,0),MATCH(S$15&amp;S$10,Analytica!$F$58:$AY$58&amp;Analytica!$F$51:'Analytica'!$AY$51,0)),"")</f>
        <v>363.56136717159279</v>
      </c>
      <c r="T19" s="637">
        <f t="array" ref="T19">IFERROR(INDEX(Analytica!$F$59:$AY$132,MATCH($B19,Analytica!$B$59:$B$162,0),MATCH(T$15&amp;T$10,Analytica!$F$58:$AY$58&amp;Analytica!$F$51:'Analytica'!$AY$51,0)),"")</f>
        <v>371.50085823323019</v>
      </c>
      <c r="U19" s="637">
        <f t="array" ref="U19">IFERROR(INDEX(Analytica!$F$59:$AY$132,MATCH($B19,Analytica!$B$59:$B$162,0),MATCH(U$15&amp;U$10,Analytica!$F$58:$AY$58&amp;Analytica!$F$51:'Analytica'!$AY$51,0)),"")</f>
        <v>379.44034929486759</v>
      </c>
      <c r="V19" s="637">
        <f t="array" ref="V19">IFERROR(INDEX(Analytica!$F$59:$AY$132,MATCH($B19,Analytica!$B$59:$B$162,0),MATCH(V$15&amp;V$10,Analytica!$F$58:$AY$58&amp;Analytica!$F$51:'Analytica'!$AY$51,0)),"")</f>
        <v>387.39622422821134</v>
      </c>
      <c r="W19" s="637">
        <f t="array" ref="W19">IFERROR(INDEX(Analytica!$F$59:$AY$132,MATCH($B19,Analytica!$B$59:$B$162,0),MATCH(W$15&amp;W$10,Analytica!$F$58:$AY$58&amp;Analytica!$F$51:'Analytica'!$AY$51,0)),"")</f>
        <v>9.4672226951283402</v>
      </c>
      <c r="X19" s="637">
        <f t="array" ref="X19">IFERROR(INDEX(Analytica!$F$59:$AY$132,MATCH($B19,Analytica!$B$59:$B$162,0),MATCH(X$15&amp;X$10,Analytica!$F$58:$AY$58&amp;Analytica!$F$51:'Analytica'!$AY$51,0)),"")</f>
        <v>9.8161569136330051</v>
      </c>
      <c r="Y19" s="637">
        <f t="array" ref="Y19">IFERROR(INDEX(Analytica!$F$59:$AY$132,MATCH($B19,Analytica!$B$59:$B$162,0),MATCH(Y$15&amp;Y$10,Analytica!$F$58:$AY$58&amp;Analytica!$F$51:'Analytica'!$AY$51,0)),"")</f>
        <v>10.244889430961425</v>
      </c>
      <c r="Z19" s="637">
        <f t="array" ref="Z19">IFERROR(INDEX(Analytica!$F$59:$AY$132,MATCH($B19,Analytica!$B$59:$B$162,0),MATCH(Z$15&amp;Z$10,Analytica!$F$58:$AY$58&amp;Analytica!$F$51:'Analytica'!$AY$51,0)),"")</f>
        <v>10.459698054161706</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09/21/2023 12:20:17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667.06718177056041</v>
      </c>
      <c r="R20" s="637">
        <f t="array" ref="R20">IFERROR(INDEX(Analytica!$F$59:$AY$132,MATCH($B20,Analytica!$B$59:$B$162,0),MATCH(R$15&amp;R$10,Analytica!$F$58:$AY$58&amp;Analytica!$F$51:'Analytica'!$AY$51,0)),"")</f>
        <v>662.58461022237543</v>
      </c>
      <c r="S20" s="637">
        <f t="array" ref="S20">IFERROR(INDEX(Analytica!$F$59:$AY$132,MATCH($B20,Analytica!$B$59:$B$162,0),MATCH(S$15&amp;S$10,Analytica!$F$58:$AY$58&amp;Analytica!$F$51:'Analytica'!$AY$51,0)),"")</f>
        <v>658.10203867419057</v>
      </c>
      <c r="T20" s="637">
        <f t="array" ref="T20">IFERROR(INDEX(Analytica!$F$59:$AY$132,MATCH($B20,Analytica!$B$59:$B$162,0),MATCH(T$15&amp;T$10,Analytica!$F$58:$AY$58&amp;Analytica!$F$51:'Analytica'!$AY$51,0)),"")</f>
        <v>371.50085823323019</v>
      </c>
      <c r="U20" s="637">
        <f t="array" ref="U20">IFERROR(INDEX(Analytica!$F$59:$AY$132,MATCH($B20,Analytica!$B$59:$B$162,0),MATCH(U$15&amp;U$10,Analytica!$F$58:$AY$58&amp;Analytica!$F$51:'Analytica'!$AY$51,0)),"")</f>
        <v>379.44034929486759</v>
      </c>
      <c r="V20" s="637">
        <f t="array" ref="V20">IFERROR(INDEX(Analytica!$F$59:$AY$132,MATCH($B20,Analytica!$B$59:$B$162,0),MATCH(V$15&amp;V$10,Analytica!$F$58:$AY$58&amp;Analytica!$F$51:'Analytica'!$AY$51,0)),"")</f>
        <v>387.39622422821134</v>
      </c>
      <c r="W20" s="637">
        <f t="array" ref="W20">IFERROR(INDEX(Analytica!$F$59:$AY$132,MATCH($B20,Analytica!$B$59:$B$162,0),MATCH(W$15&amp;W$10,Analytica!$F$58:$AY$58&amp;Analytica!$F$51:'Analytica'!$AY$51,0)),"")</f>
        <v>18.010813907805129</v>
      </c>
      <c r="X20" s="637">
        <f t="array" ref="X20">IFERROR(INDEX(Analytica!$F$59:$AY$132,MATCH($B20,Analytica!$B$59:$B$162,0),MATCH(X$15&amp;X$10,Analytica!$F$58:$AY$58&amp;Analytica!$F$51:'Analytica'!$AY$51,0)),"")</f>
        <v>17.768755044203147</v>
      </c>
      <c r="Y20" s="637">
        <f t="array" ref="Y20">IFERROR(INDEX(Analytica!$F$59:$AY$132,MATCH($B20,Analytica!$B$59:$B$162,0),MATCH(Y$15&amp;Y$10,Analytica!$F$58:$AY$58&amp;Analytica!$F$51:'Analytica'!$AY$51,0)),"")</f>
        <v>10.244889430961425</v>
      </c>
      <c r="Z20" s="637">
        <f t="array" ref="Z20">IFERROR(INDEX(Analytica!$F$59:$AY$132,MATCH($B20,Analytica!$B$59:$B$162,0),MATCH(Z$15&amp;Z$10,Analytica!$F$58:$AY$58&amp;Analytica!$F$51:'Analytica'!$AY$51,0)),"")</f>
        <v>10.459698054161706</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09/21/2023 12:20:17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444.71145451370705</v>
      </c>
      <c r="R21" s="637">
        <f t="array" ref="R21">IFERROR(INDEX(Analytica!$F$59:$AY$132,MATCH($B21,Analytica!$B$59:$B$162,0),MATCH(R$15&amp;R$10,Analytica!$F$58:$AY$58&amp;Analytica!$F$51:'Analytica'!$AY$51,0)),"")</f>
        <v>441.88643413290185</v>
      </c>
      <c r="S21" s="637">
        <f t="array" ref="S21">IFERROR(INDEX(Analytica!$F$59:$AY$132,MATCH($B21,Analytica!$B$59:$B$162,0),MATCH(S$15&amp;S$10,Analytica!$F$58:$AY$58&amp;Analytica!$F$51:'Analytica'!$AY$51,0)),"")</f>
        <v>439.06141375209666</v>
      </c>
      <c r="T21" s="637">
        <f t="array" ref="T21">IFERROR(INDEX(Analytica!$F$59:$AY$132,MATCH($B21,Analytica!$B$59:$B$162,0),MATCH(T$15&amp;T$10,Analytica!$F$58:$AY$58&amp;Analytica!$F$51:'Analytica'!$AY$51,0)),"")</f>
        <v>371.50085823323019</v>
      </c>
      <c r="U21" s="637">
        <f t="array" ref="U21">IFERROR(INDEX(Analytica!$F$59:$AY$132,MATCH($B21,Analytica!$B$59:$B$162,0),MATCH(U$15&amp;U$10,Analytica!$F$58:$AY$58&amp;Analytica!$F$51:'Analytica'!$AY$51,0)),"")</f>
        <v>379.44034929486759</v>
      </c>
      <c r="V21" s="637">
        <f t="array" ref="V21">IFERROR(INDEX(Analytica!$F$59:$AY$132,MATCH($B21,Analytica!$B$59:$B$162,0),MATCH(V$15&amp;V$10,Analytica!$F$58:$AY$58&amp;Analytica!$F$51:'Analytica'!$AY$51,0)),"")</f>
        <v>387.39622422821134</v>
      </c>
      <c r="W21" s="637">
        <f t="array" ref="W21">IFERROR(INDEX(Analytica!$F$59:$AY$132,MATCH($B21,Analytica!$B$59:$B$162,0),MATCH(W$15&amp;W$10,Analytica!$F$58:$AY$58&amp;Analytica!$F$51:'Analytica'!$AY$51,0)),"")</f>
        <v>12.00720927187009</v>
      </c>
      <c r="X21" s="637">
        <f t="array" ref="X21">IFERROR(INDEX(Analytica!$F$59:$AY$132,MATCH($B21,Analytica!$B$59:$B$162,0),MATCH(X$15&amp;X$10,Analytica!$F$58:$AY$58&amp;Analytica!$F$51:'Analytica'!$AY$51,0)),"")</f>
        <v>11.85465817130661</v>
      </c>
      <c r="Y21" s="637">
        <f t="array" ref="Y21">IFERROR(INDEX(Analytica!$F$59:$AY$132,MATCH($B21,Analytica!$B$59:$B$162,0),MATCH(Y$15&amp;Y$10,Analytica!$F$58:$AY$58&amp;Analytica!$F$51:'Analytica'!$AY$51,0)),"")</f>
        <v>10.244889430961425</v>
      </c>
      <c r="Z21" s="637">
        <f t="array" ref="Z21">IFERROR(INDEX(Analytica!$F$59:$AY$132,MATCH($B21,Analytica!$B$59:$B$162,0),MATCH(Z$15&amp;Z$10,Analytica!$F$58:$AY$58&amp;Analytica!$F$51:'Analytica'!$AY$51,0)),"")</f>
        <v>10.459698054161706</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09/21/2023 12:20:17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545.62674611489456</v>
      </c>
      <c r="R22" s="637">
        <f t="array" ref="R22">IFERROR(INDEX(Analytica!$F$59:$AY$132,MATCH($B22,Analytica!$B$59:$B$162,0),MATCH(R$15&amp;R$10,Analytica!$F$58:$AY$58&amp;Analytica!$F$51:'Analytica'!$AY$51,0)),"")</f>
        <v>551.3701241175919</v>
      </c>
      <c r="S22" s="637">
        <f t="array" ref="S22">IFERROR(INDEX(Analytica!$F$59:$AY$132,MATCH($B22,Analytica!$B$59:$B$162,0),MATCH(S$15&amp;S$10,Analytica!$F$58:$AY$58&amp;Analytica!$F$51:'Analytica'!$AY$51,0)),"")</f>
        <v>557.11350212028935</v>
      </c>
      <c r="T22" s="637">
        <f t="array" ref="T22">IFERROR(INDEX(Analytica!$F$59:$AY$132,MATCH($B22,Analytica!$B$59:$B$162,0),MATCH(T$15&amp;T$10,Analytica!$F$58:$AY$58&amp;Analytica!$F$51:'Analytica'!$AY$51,0)),"")</f>
        <v>565.34503849646865</v>
      </c>
      <c r="U22" s="637">
        <f t="array" ref="U22">IFERROR(INDEX(Analytica!$F$59:$AY$132,MATCH($B22,Analytica!$B$59:$B$162,0),MATCH(U$15&amp;U$10,Analytica!$F$58:$AY$58&amp;Analytica!$F$51:'Analytica'!$AY$51,0)),"")</f>
        <v>573.57657487264794</v>
      </c>
      <c r="V22" s="637">
        <f t="array" ref="V22">IFERROR(INDEX(Analytica!$F$59:$AY$132,MATCH($B22,Analytica!$B$59:$B$162,0),MATCH(V$15&amp;V$10,Analytica!$F$58:$AY$58&amp;Analytica!$F$51:'Analytica'!$AY$51,0)),"")</f>
        <v>580.79572210982678</v>
      </c>
      <c r="W22" s="637">
        <f t="array" ref="W22">IFERROR(INDEX(Analytica!$F$59:$AY$132,MATCH($B22,Analytica!$B$59:$B$162,0),MATCH(W$15&amp;W$10,Analytica!$F$58:$AY$58&amp;Analytica!$F$51:'Analytica'!$AY$51,0)),"")</f>
        <v>14.731922145102153</v>
      </c>
      <c r="X22" s="637">
        <f t="array" ref="X22">IFERROR(INDEX(Analytica!$F$59:$AY$132,MATCH($B22,Analytica!$B$59:$B$162,0),MATCH(X$15&amp;X$10,Analytica!$F$58:$AY$58&amp;Analytica!$F$51:'Analytica'!$AY$51,0)),"")</f>
        <v>15.042064557247812</v>
      </c>
      <c r="Y22" s="637">
        <f t="array" ref="Y22">IFERROR(INDEX(Analytica!$F$59:$AY$132,MATCH($B22,Analytica!$B$59:$B$162,0),MATCH(Y$15&amp;Y$10,Analytica!$F$58:$AY$58&amp;Analytica!$F$51:'Analytica'!$AY$51,0)),"")</f>
        <v>15.486567521561494</v>
      </c>
      <c r="Z22" s="637">
        <f t="array" ref="Z22">IFERROR(INDEX(Analytica!$F$59:$AY$132,MATCH($B22,Analytica!$B$59:$B$162,0),MATCH(Z$15&amp;Z$10,Analytica!$F$58:$AY$58&amp;Analytica!$F$51:'Analytica'!$AY$51,0)),"")</f>
        <v>15.681484496965323</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09/21/2023 12:20:17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1769.9627067509173</v>
      </c>
      <c r="R23" s="637">
        <f t="array" ref="R23">IFERROR(INDEX(Analytica!$F$59:$AY$132,MATCH($B23,Analytica!$B$59:$B$162,0),MATCH(R$15&amp;R$10,Analytica!$F$58:$AY$58&amp;Analytica!$F$51:'Analytica'!$AY$51,0)),"")</f>
        <v>1358.7481529305462</v>
      </c>
      <c r="S23" s="637">
        <f t="array" ref="S23">IFERROR(INDEX(Analytica!$F$59:$AY$132,MATCH($B23,Analytica!$B$59:$B$162,0),MATCH(S$15&amp;S$10,Analytica!$F$58:$AY$58&amp;Analytica!$F$51:'Analytica'!$AY$51,0)),"")</f>
        <v>947.53359911017537</v>
      </c>
      <c r="T23" s="637">
        <f t="array" ref="T23">IFERROR(INDEX(Analytica!$F$59:$AY$132,MATCH($B23,Analytica!$B$59:$B$162,0),MATCH(T$15&amp;T$10,Analytica!$F$58:$AY$58&amp;Analytica!$F$51:'Analytica'!$AY$51,0)),"")</f>
        <v>902.30995825479886</v>
      </c>
      <c r="U23" s="637">
        <f t="array" ref="U23">IFERROR(INDEX(Analytica!$F$59:$AY$132,MATCH($B23,Analytica!$B$59:$B$162,0),MATCH(U$15&amp;U$10,Analytica!$F$58:$AY$58&amp;Analytica!$F$51:'Analytica'!$AY$51,0)),"")</f>
        <v>857.08631739942234</v>
      </c>
      <c r="V23" s="637">
        <f t="array" ref="V23">IFERROR(INDEX(Analytica!$F$59:$AY$132,MATCH($B23,Analytica!$B$59:$B$162,0),MATCH(V$15&amp;V$10,Analytica!$F$58:$AY$58&amp;Analytica!$F$51:'Analytica'!$AY$51,0)),"")</f>
        <v>387.39622422821134</v>
      </c>
      <c r="W23" s="637">
        <f t="array" ref="W23">IFERROR(INDEX(Analytica!$F$59:$AY$132,MATCH($B23,Analytica!$B$59:$B$162,0),MATCH(W$15&amp;W$10,Analytica!$F$58:$AY$58&amp;Analytica!$F$51:'Analytica'!$AY$51,0)),"")</f>
        <v>47.788993082274764</v>
      </c>
      <c r="X23" s="637">
        <f t="array" ref="X23">IFERROR(INDEX(Analytica!$F$59:$AY$132,MATCH($B23,Analytica!$B$59:$B$162,0),MATCH(X$15&amp;X$10,Analytica!$F$58:$AY$58&amp;Analytica!$F$51:'Analytica'!$AY$51,0)),"")</f>
        <v>25.583407175974735</v>
      </c>
      <c r="Y23" s="637">
        <f t="array" ref="Y23">IFERROR(INDEX(Analytica!$F$59:$AY$132,MATCH($B23,Analytica!$B$59:$B$162,0),MATCH(Y$15&amp;Y$10,Analytica!$F$58:$AY$58&amp;Analytica!$F$51:'Analytica'!$AY$51,0)),"")</f>
        <v>23.141330569784405</v>
      </c>
      <c r="Z23" s="637">
        <f t="array" ref="Z23">IFERROR(INDEX(Analytica!$F$59:$AY$132,MATCH($B23,Analytica!$B$59:$B$162,0),MATCH(Z$15&amp;Z$10,Analytica!$F$58:$AY$58&amp;Analytica!$F$51:'Analytica'!$AY$51,0)),"")</f>
        <v>10.459698054161706</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09/21/2023 12:20:17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350.63787759734595</v>
      </c>
      <c r="R24" s="637">
        <f t="array" ref="R24">IFERROR(INDEX(Analytica!$F$59:$AY$132,MATCH($B24,Analytica!$B$59:$B$162,0),MATCH(R$15&amp;R$10,Analytica!$F$58:$AY$58&amp;Analytica!$F$51:'Analytica'!$AY$51,0)),"")</f>
        <v>357.09962238446946</v>
      </c>
      <c r="S24" s="637">
        <f t="array" ref="S24">IFERROR(INDEX(Analytica!$F$59:$AY$132,MATCH($B24,Analytica!$B$59:$B$162,0),MATCH(S$15&amp;S$10,Analytica!$F$58:$AY$58&amp;Analytica!$F$51:'Analytica'!$AY$51,0)),"")</f>
        <v>363.56136717159279</v>
      </c>
      <c r="T24" s="637">
        <f t="array" ref="T24">IFERROR(INDEX(Analytica!$F$59:$AY$132,MATCH($B24,Analytica!$B$59:$B$162,0),MATCH(T$15&amp;T$10,Analytica!$F$58:$AY$58&amp;Analytica!$F$51:'Analytica'!$AY$51,0)),"")</f>
        <v>371.50085823323019</v>
      </c>
      <c r="U24" s="637">
        <f t="array" ref="U24">IFERROR(INDEX(Analytica!$F$59:$AY$132,MATCH($B24,Analytica!$B$59:$B$162,0),MATCH(U$15&amp;U$10,Analytica!$F$58:$AY$58&amp;Analytica!$F$51:'Analytica'!$AY$51,0)),"")</f>
        <v>379.44034929486759</v>
      </c>
      <c r="V24" s="637">
        <f t="array" ref="V24">IFERROR(INDEX(Analytica!$F$59:$AY$132,MATCH($B24,Analytica!$B$59:$B$162,0),MATCH(V$15&amp;V$10,Analytica!$F$58:$AY$58&amp;Analytica!$F$51:'Analytica'!$AY$51,0)),"")</f>
        <v>387.39622422821134</v>
      </c>
      <c r="W24" s="637">
        <f t="array" ref="W24">IFERROR(INDEX(Analytica!$F$59:$AY$132,MATCH($B24,Analytica!$B$59:$B$162,0),MATCH(W$15&amp;W$10,Analytica!$F$58:$AY$58&amp;Analytica!$F$51:'Analytica'!$AY$51,0)),"")</f>
        <v>9.4672226951283402</v>
      </c>
      <c r="X24" s="637">
        <f t="array" ref="X24">IFERROR(INDEX(Analytica!$F$59:$AY$132,MATCH($B24,Analytica!$B$59:$B$162,0),MATCH(X$15&amp;X$10,Analytica!$F$58:$AY$58&amp;Analytica!$F$51:'Analytica'!$AY$51,0)),"")</f>
        <v>9.8161569136330051</v>
      </c>
      <c r="Y24" s="637">
        <f t="array" ref="Y24">IFERROR(INDEX(Analytica!$F$59:$AY$132,MATCH($B24,Analytica!$B$59:$B$162,0),MATCH(Y$15&amp;Y$10,Analytica!$F$58:$AY$58&amp;Analytica!$F$51:'Analytica'!$AY$51,0)),"")</f>
        <v>10.244889430961425</v>
      </c>
      <c r="Z24" s="637">
        <f t="array" ref="Z24">IFERROR(INDEX(Analytica!$F$59:$AY$132,MATCH($B24,Analytica!$B$59:$B$162,0),MATCH(Z$15&amp;Z$10,Analytica!$F$58:$AY$58&amp;Analytica!$F$51:'Analytica'!$AY$51,0)),"")</f>
        <v>10.459698054161706</v>
      </c>
      <c r="AA24" s="711">
        <f>AA23</f>
        <v>20</v>
      </c>
      <c r="AB24" s="711">
        <f t="shared" si="4"/>
        <v>20</v>
      </c>
      <c r="AC24" s="711">
        <f t="shared" si="24"/>
        <v>2025</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09/21/2023 12:20:17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1094.5888281386417</v>
      </c>
      <c r="R25" s="795">
        <f t="array" ref="R25">IFERROR(INDEX(Analytica!$F$59:$AY$132,MATCH($B25,Analytica!$B$59:$B$162,0),MATCH(R$15&amp;R$10,Analytica!$F$58:$AY$58&amp;Analytica!$F$51:'Analytica'!$AY$51,0)),"")</f>
        <v>1007.0853648438302</v>
      </c>
      <c r="S25" s="795">
        <f t="array" ref="S25">IFERROR(INDEX(Analytica!$F$59:$AY$132,MATCH($B25,Analytica!$B$59:$B$162,0),MATCH(S$15&amp;S$10,Analytica!$F$58:$AY$58&amp;Analytica!$F$51:'Analytica'!$AY$51,0)),"")</f>
        <v>919.58190154901843</v>
      </c>
      <c r="T25" s="795">
        <f t="array" ref="T25">IFERROR(INDEX(Analytica!$F$59:$AY$132,MATCH($B25,Analytica!$B$59:$B$162,0),MATCH(T$15&amp;T$10,Analytica!$F$58:$AY$58&amp;Analytica!$F$51:'Analytica'!$AY$51,0)),"")</f>
        <v>928.70146574433534</v>
      </c>
      <c r="U25" s="795">
        <f t="array" ref="U25">IFERROR(INDEX(Analytica!$F$59:$AY$132,MATCH($B25,Analytica!$B$59:$B$162,0),MATCH(U$15&amp;U$10,Analytica!$F$58:$AY$58&amp;Analytica!$F$51:'Analytica'!$AY$51,0)),"")</f>
        <v>379.44034929486759</v>
      </c>
      <c r="V25" s="795">
        <f t="array" ref="V25">IFERROR(INDEX(Analytica!$F$59:$AY$132,MATCH($B25,Analytica!$B$59:$B$162,0),MATCH(V$15&amp;V$10,Analytica!$F$58:$AY$58&amp;Analytica!$F$51:'Analytica'!$AY$51,0)),"")</f>
        <v>387.39622422821134</v>
      </c>
      <c r="W25" s="637">
        <f t="array" ref="W25">IFERROR(INDEX(Analytica!$F$59:$AY$132,MATCH($B25,Analytica!$B$59:$B$162,0),MATCH(W$15&amp;W$10,Analytica!$F$58:$AY$58&amp;Analytica!$F$51:'Analytica'!$AY$51,0)),"")</f>
        <v>22.165423769807497</v>
      </c>
      <c r="X25" s="637">
        <f t="array" ref="X25">IFERROR(INDEX(Analytica!$F$59:$AY$132,MATCH($B25,Analytica!$B$59:$B$162,0),MATCH(X$15&amp;X$10,Analytica!$F$58:$AY$58&amp;Analytica!$F$51:'Analytica'!$AY$51,0)),"")</f>
        <v>18.621533506367623</v>
      </c>
      <c r="Y25" s="637">
        <f t="array" ref="Y25">IFERROR(INDEX(Analytica!$F$59:$AY$132,MATCH($B25,Analytica!$B$59:$B$162,0),MATCH(Y$15&amp;Y$10,Analytica!$F$58:$AY$58&amp;Analytica!$F$51:'Analytica'!$AY$51,0)),"")</f>
        <v>7.683667073221069</v>
      </c>
      <c r="Z25" s="637">
        <f t="array" ref="Z25">IFERROR(INDEX(Analytica!$F$59:$AY$132,MATCH($B25,Analytica!$B$59:$B$162,0),MATCH(Z$15&amp;Z$10,Analytica!$F$58:$AY$58&amp;Analytica!$F$51:'Analytica'!$AY$51,0)),"")</f>
        <v>7.8447735406212802</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09/21/2023 12:20:17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09/21/2023 12:20:17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360.54493702527509</v>
      </c>
      <c r="R27" s="637">
        <f t="array" ref="R27">IFERROR(INDEX(Analytica!$F$59:$AY$132,MATCH($B27,Analytica!$B$59:$B$162,0),MATCH(R$15&amp;R$10,Analytica!$F$58:$AY$58&amp;Analytica!$F$51:'Analytica'!$AY$51,0)),"")</f>
        <v>366.15082503153013</v>
      </c>
      <c r="S27" s="637">
        <f t="array" ref="S27">IFERROR(INDEX(Analytica!$F$59:$AY$132,MATCH($B27,Analytica!$B$59:$B$162,0),MATCH(S$15&amp;S$10,Analytica!$F$58:$AY$58&amp;Analytica!$F$51:'Analytica'!$AY$51,0)),"")</f>
        <v>248.54977442435177</v>
      </c>
      <c r="T27" s="637">
        <f t="array" ref="T27">IFERROR(INDEX(Analytica!$F$59:$AY$132,MATCH($B27,Analytica!$B$59:$B$162,0),MATCH(T$15&amp;T$10,Analytica!$F$58:$AY$58&amp;Analytica!$F$51:'Analytica'!$AY$51,0)),"")</f>
        <v>251.27334974387253</v>
      </c>
      <c r="U27" s="637">
        <f t="array" ref="U27">IFERROR(INDEX(Analytica!$F$59:$AY$132,MATCH($B27,Analytica!$B$59:$B$162,0),MATCH(U$15&amp;U$10,Analytica!$F$58:$AY$58&amp;Analytica!$F$51:'Analytica'!$AY$51,0)),"")</f>
        <v>253.99692506339329</v>
      </c>
      <c r="V27" s="637">
        <f t="array" ref="V27">IFERROR(INDEX(Analytica!$F$59:$AY$132,MATCH($B27,Analytica!$B$59:$B$162,0),MATCH(V$15&amp;V$10,Analytica!$F$58:$AY$58&amp;Analytica!$F$51:'Analytica'!$AY$51,0)),"")</f>
        <v>257.17260066817499</v>
      </c>
      <c r="W27" s="637">
        <f t="array" ref="W27">IFERROR(INDEX(Analytica!$F$59:$AY$132,MATCH($B27,Analytica!$B$59:$B$162,0),MATCH(W$15&amp;W$10,Analytica!$F$58:$AY$58&amp;Analytica!$F$51:'Analytica'!$AY$51,0)),"")</f>
        <v>9.7347132996824275</v>
      </c>
      <c r="X27" s="637">
        <f t="array" ref="X27">IFERROR(INDEX(Analytica!$F$59:$AY$132,MATCH($B27,Analytica!$B$59:$B$162,0),MATCH(X$15&amp;X$10,Analytica!$F$58:$AY$58&amp;Analytica!$F$51:'Analytica'!$AY$51,0)),"")</f>
        <v>6.7108439094574974</v>
      </c>
      <c r="Y27" s="637">
        <f t="array" ref="Y27">IFERROR(INDEX(Analytica!$F$59:$AY$132,MATCH($B27,Analytica!$B$59:$B$162,0),MATCH(Y$15&amp;Y$10,Analytica!$F$58:$AY$58&amp;Analytica!$F$51:'Analytica'!$AY$51,0)),"")</f>
        <v>6.8579169767116186</v>
      </c>
      <c r="Z27" s="637">
        <f t="array" ref="Z27">IFERROR(INDEX(Analytica!$F$59:$AY$132,MATCH($B27,Analytica!$B$59:$B$162,0),MATCH(Z$15&amp;Z$10,Analytica!$F$58:$AY$58&amp;Analytica!$F$51:'Analytica'!$AY$51,0)),"")</f>
        <v>6.9436602180407245</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09/21/2023 12:20:17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240.3632913501834</v>
      </c>
      <c r="R28" s="637">
        <f t="array" ref="R28">IFERROR(INDEX(Analytica!$F$59:$AY$132,MATCH($B28,Analytica!$B$59:$B$162,0),MATCH(R$15&amp;R$10,Analytica!$F$58:$AY$58&amp;Analytica!$F$51:'Analytica'!$AY$51,0)),"")</f>
        <v>244.4565328872676</v>
      </c>
      <c r="S28" s="637">
        <f t="array" ref="S28">IFERROR(INDEX(Analytica!$F$59:$AY$132,MATCH($B28,Analytica!$B$59:$B$162,0),MATCH(S$15&amp;S$10,Analytica!$F$58:$AY$58&amp;Analytica!$F$51:'Analytica'!$AY$51,0)),"")</f>
        <v>248.54977442435177</v>
      </c>
      <c r="T28" s="637">
        <f t="array" ref="T28">IFERROR(INDEX(Analytica!$F$59:$AY$132,MATCH($B28,Analytica!$B$59:$B$162,0),MATCH(T$15&amp;T$10,Analytica!$F$58:$AY$58&amp;Analytica!$F$51:'Analytica'!$AY$51,0)),"")</f>
        <v>251.27334974387253</v>
      </c>
      <c r="U28" s="637">
        <f t="array" ref="U28">IFERROR(INDEX(Analytica!$F$59:$AY$132,MATCH($B28,Analytica!$B$59:$B$162,0),MATCH(U$15&amp;U$10,Analytica!$F$58:$AY$58&amp;Analytica!$F$51:'Analytica'!$AY$51,0)),"")</f>
        <v>253.99692506339329</v>
      </c>
      <c r="V28" s="637">
        <f t="array" ref="V28">IFERROR(INDEX(Analytica!$F$59:$AY$132,MATCH($B28,Analytica!$B$59:$B$162,0),MATCH(V$15&amp;V$10,Analytica!$F$58:$AY$58&amp;Analytica!$F$51:'Analytica'!$AY$51,0)),"")</f>
        <v>257.17260066817499</v>
      </c>
      <c r="W28" s="637">
        <f t="array" ref="W28">IFERROR(INDEX(Analytica!$F$59:$AY$132,MATCH($B28,Analytica!$B$59:$B$162,0),MATCH(W$15&amp;W$10,Analytica!$F$58:$AY$58&amp;Analytica!$F$51:'Analytica'!$AY$51,0)),"")</f>
        <v>6.4898088664549514</v>
      </c>
      <c r="X28" s="637">
        <f t="array" ref="X28">IFERROR(INDEX(Analytica!$F$59:$AY$132,MATCH($B28,Analytica!$B$59:$B$162,0),MATCH(X$15&amp;X$10,Analytica!$F$58:$AY$58&amp;Analytica!$F$51:'Analytica'!$AY$51,0)),"")</f>
        <v>6.7108439094574974</v>
      </c>
      <c r="Y28" s="637">
        <f t="array" ref="Y28">IFERROR(INDEX(Analytica!$F$59:$AY$132,MATCH($B28,Analytica!$B$59:$B$162,0),MATCH(Y$15&amp;Y$10,Analytica!$F$58:$AY$58&amp;Analytica!$F$51:'Analytica'!$AY$51,0)),"")</f>
        <v>6.8579169767116186</v>
      </c>
      <c r="Z28" s="637">
        <f t="array" ref="Z28">IFERROR(INDEX(Analytica!$F$59:$AY$132,MATCH($B28,Analytica!$B$59:$B$162,0),MATCH(Z$15&amp;Z$10,Analytica!$F$58:$AY$58&amp;Analytica!$F$51:'Analytica'!$AY$51,0)),"")</f>
        <v>6.9436602180407245</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09/21/2023 12:20:17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660.65307425353603</v>
      </c>
      <c r="R29" s="637">
        <f t="array" ref="R29">IFERROR(INDEX(Analytica!$F$59:$AY$132,MATCH($B29,Analytica!$B$59:$B$162,0),MATCH(R$15&amp;R$10,Analytica!$F$58:$AY$58&amp;Analytica!$F$51:'Analytica'!$AY$51,0)),"")</f>
        <v>655.42385807417963</v>
      </c>
      <c r="S29" s="637">
        <f t="array" ref="S29">IFERROR(INDEX(Analytica!$F$59:$AY$132,MATCH($B29,Analytica!$B$59:$B$162,0),MATCH(S$15&amp;S$10,Analytica!$F$58:$AY$58&amp;Analytica!$F$51:'Analytica'!$AY$51,0)),"")</f>
        <v>650.19464189482301</v>
      </c>
      <c r="T29" s="637">
        <f t="array" ref="T29">IFERROR(INDEX(Analytica!$F$59:$AY$132,MATCH($B29,Analytica!$B$59:$B$162,0),MATCH(T$15&amp;T$10,Analytica!$F$58:$AY$58&amp;Analytica!$F$51:'Analytica'!$AY$51,0)),"")</f>
        <v>251.27334974387253</v>
      </c>
      <c r="U29" s="637">
        <f t="array" ref="U29">IFERROR(INDEX(Analytica!$F$59:$AY$132,MATCH($B29,Analytica!$B$59:$B$162,0),MATCH(U$15&amp;U$10,Analytica!$F$58:$AY$58&amp;Analytica!$F$51:'Analytica'!$AY$51,0)),"")</f>
        <v>253.99692506339329</v>
      </c>
      <c r="V29" s="637">
        <f t="array" ref="V29">IFERROR(INDEX(Analytica!$F$59:$AY$132,MATCH($B29,Analytica!$B$59:$B$162,0),MATCH(V$15&amp;V$10,Analytica!$F$58:$AY$58&amp;Analytica!$F$51:'Analytica'!$AY$51,0)),"")</f>
        <v>257.17260066817499</v>
      </c>
      <c r="W29" s="637">
        <f t="array" ref="W29">IFERROR(INDEX(Analytica!$F$59:$AY$132,MATCH($B29,Analytica!$B$59:$B$162,0),MATCH(W$15&amp;W$10,Analytica!$F$58:$AY$58&amp;Analytica!$F$51:'Analytica'!$AY$51,0)),"")</f>
        <v>17.837633004845472</v>
      </c>
      <c r="X29" s="637">
        <f t="array" ref="X29">IFERROR(INDEX(Analytica!$F$59:$AY$132,MATCH($B29,Analytica!$B$59:$B$162,0),MATCH(X$15&amp;X$10,Analytica!$F$58:$AY$58&amp;Analytica!$F$51:'Analytica'!$AY$51,0)),"")</f>
        <v>17.555255331160222</v>
      </c>
      <c r="Y29" s="637">
        <f t="array" ref="Y29">IFERROR(INDEX(Analytica!$F$59:$AY$132,MATCH($B29,Analytica!$B$59:$B$162,0),MATCH(Y$15&amp;Y$10,Analytica!$F$58:$AY$58&amp;Analytica!$F$51:'Analytica'!$AY$51,0)),"")</f>
        <v>6.8579169767116186</v>
      </c>
      <c r="Z29" s="637">
        <f t="array" ref="Z29">IFERROR(INDEX(Analytica!$F$59:$AY$132,MATCH($B29,Analytica!$B$59:$B$162,0),MATCH(Z$15&amp;Z$10,Analytica!$F$58:$AY$58&amp;Analytica!$F$51:'Analytica'!$AY$51,0)),"")</f>
        <v>6.9436602180407245</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09/21/2023 12:20:17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440.43538283569075</v>
      </c>
      <c r="R30" s="637">
        <f t="array" ref="R30">IFERROR(INDEX(Analytica!$F$59:$AY$132,MATCH($B30,Analytica!$B$59:$B$162,0),MATCH(R$15&amp;R$10,Analytica!$F$58:$AY$58&amp;Analytica!$F$51:'Analytica'!$AY$51,0)),"")</f>
        <v>436.63514806228852</v>
      </c>
      <c r="S30" s="637">
        <f t="array" ref="S30">IFERROR(INDEX(Analytica!$F$59:$AY$132,MATCH($B30,Analytica!$B$59:$B$162,0),MATCH(S$15&amp;S$10,Analytica!$F$58:$AY$58&amp;Analytica!$F$51:'Analytica'!$AY$51,0)),"")</f>
        <v>432.8349132888863</v>
      </c>
      <c r="T30" s="637">
        <f t="array" ref="T30">IFERROR(INDEX(Analytica!$F$59:$AY$132,MATCH($B30,Analytica!$B$59:$B$162,0),MATCH(T$15&amp;T$10,Analytica!$F$58:$AY$58&amp;Analytica!$F$51:'Analytica'!$AY$51,0)),"")</f>
        <v>251.27334974387253</v>
      </c>
      <c r="U30" s="637">
        <f t="array" ref="U30">IFERROR(INDEX(Analytica!$F$59:$AY$132,MATCH($B30,Analytica!$B$59:$B$162,0),MATCH(U$15&amp;U$10,Analytica!$F$58:$AY$58&amp;Analytica!$F$51:'Analytica'!$AY$51,0)),"")</f>
        <v>253.99692506339329</v>
      </c>
      <c r="V30" s="637">
        <f t="array" ref="V30">IFERROR(INDEX(Analytica!$F$59:$AY$132,MATCH($B30,Analytica!$B$59:$B$162,0),MATCH(V$15&amp;V$10,Analytica!$F$58:$AY$58&amp;Analytica!$F$51:'Analytica'!$AY$51,0)),"")</f>
        <v>257.17260066817499</v>
      </c>
      <c r="W30" s="637">
        <f t="array" ref="W30">IFERROR(INDEX(Analytica!$F$59:$AY$132,MATCH($B30,Analytica!$B$59:$B$162,0),MATCH(W$15&amp;W$10,Analytica!$F$58:$AY$58&amp;Analytica!$F$51:'Analytica'!$AY$51,0)),"")</f>
        <v>11.89175533656365</v>
      </c>
      <c r="X30" s="637">
        <f t="array" ref="X30">IFERROR(INDEX(Analytica!$F$59:$AY$132,MATCH($B30,Analytica!$B$59:$B$162,0),MATCH(X$15&amp;X$10,Analytica!$F$58:$AY$58&amp;Analytica!$F$51:'Analytica'!$AY$51,0)),"")</f>
        <v>11.686542658799929</v>
      </c>
      <c r="Y30" s="637">
        <f t="array" ref="Y30">IFERROR(INDEX(Analytica!$F$59:$AY$132,MATCH($B30,Analytica!$B$59:$B$162,0),MATCH(Y$15&amp;Y$10,Analytica!$F$58:$AY$58&amp;Analytica!$F$51:'Analytica'!$AY$51,0)),"")</f>
        <v>6.8579169767116186</v>
      </c>
      <c r="Z30" s="637">
        <f t="array" ref="Z30">IFERROR(INDEX(Analytica!$F$59:$AY$132,MATCH($B30,Analytica!$B$59:$B$162,0),MATCH(Z$15&amp;Z$10,Analytica!$F$58:$AY$58&amp;Analytica!$F$51:'Analytica'!$AY$51,0)),"")</f>
        <v>6.9436602180407245</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09/21/2023 12:20:17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1465.8478295627149</v>
      </c>
      <c r="R31" s="637">
        <f t="array" ref="R31">IFERROR(INDEX(Analytica!$F$59:$AY$132,MATCH($B31,Analytica!$B$59:$B$162,0),MATCH(R$15&amp;R$10,Analytica!$F$58:$AY$58&amp;Analytica!$F$51:'Analytica'!$AY$51,0)),"")</f>
        <v>1339.8515427458035</v>
      </c>
      <c r="S31" s="637">
        <f t="array" ref="S31">IFERROR(INDEX(Analytica!$F$59:$AY$132,MATCH($B31,Analytica!$B$59:$B$162,0),MATCH(S$15&amp;S$10,Analytica!$F$58:$AY$58&amp;Analytica!$F$51:'Analytica'!$AY$51,0)),"")</f>
        <v>1213.8552559288921</v>
      </c>
      <c r="T31" s="637">
        <f t="array" ref="T31">IFERROR(INDEX(Analytica!$F$59:$AY$132,MATCH($B31,Analytica!$B$59:$B$162,0),MATCH(T$15&amp;T$10,Analytica!$F$58:$AY$58&amp;Analytica!$F$51:'Analytica'!$AY$51,0)),"")</f>
        <v>251.27334974387253</v>
      </c>
      <c r="U31" s="637">
        <f t="array" ref="U31">IFERROR(INDEX(Analytica!$F$59:$AY$132,MATCH($B31,Analytica!$B$59:$B$162,0),MATCH(U$15&amp;U$10,Analytica!$F$58:$AY$58&amp;Analytica!$F$51:'Analytica'!$AY$51,0)),"")</f>
        <v>253.99692506339329</v>
      </c>
      <c r="V31" s="637">
        <f t="array" ref="V31">IFERROR(INDEX(Analytica!$F$59:$AY$132,MATCH($B31,Analytica!$B$59:$B$162,0),MATCH(V$15&amp;V$10,Analytica!$F$58:$AY$58&amp;Analytica!$F$51:'Analytica'!$AY$51,0)),"")</f>
        <v>257.17260066817499</v>
      </c>
      <c r="W31" s="637">
        <f t="array" ref="W31">IFERROR(INDEX(Analytica!$F$59:$AY$132,MATCH($B31,Analytica!$B$59:$B$162,0),MATCH(W$15&amp;W$10,Analytica!$F$58:$AY$58&amp;Analytica!$F$51:'Analytica'!$AY$51,0)),"")</f>
        <v>29.683418548644976</v>
      </c>
      <c r="X31" s="637">
        <f t="array" ref="X31">IFERROR(INDEX(Analytica!$F$59:$AY$132,MATCH($B31,Analytica!$B$59:$B$162,0),MATCH(X$15&amp;X$10,Analytica!$F$58:$AY$58&amp;Analytica!$F$51:'Analytica'!$AY$51,0)),"")</f>
        <v>24.580568932560066</v>
      </c>
      <c r="Y31" s="637">
        <f t="array" ref="Y31">IFERROR(INDEX(Analytica!$F$59:$AY$132,MATCH($B31,Analytica!$B$59:$B$162,0),MATCH(Y$15&amp;Y$10,Analytica!$F$58:$AY$58&amp;Analytica!$F$51:'Analytica'!$AY$51,0)),"")</f>
        <v>5.1434377325337142</v>
      </c>
      <c r="Z31" s="637">
        <f t="array" ref="Z31">IFERROR(INDEX(Analytica!$F$59:$AY$132,MATCH($B31,Analytica!$B$59:$B$162,0),MATCH(Z$15&amp;Z$10,Analytica!$F$58:$AY$58&amp;Analytica!$F$51:'Analytica'!$AY$51,0)),"")</f>
        <v>5.2077451635305438</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09/21/2023 12:20:17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396.59943072780266</v>
      </c>
      <c r="R32" s="637">
        <f t="array" ref="R32">IFERROR(INDEX(Analytica!$F$59:$AY$132,MATCH($B32,Analytica!$B$59:$B$162,0),MATCH(R$15&amp;R$10,Analytica!$F$58:$AY$58&amp;Analytica!$F$51:'Analytica'!$AY$51,0)),"")</f>
        <v>400.60799761902143</v>
      </c>
      <c r="S32" s="637">
        <f t="array" ref="S32">IFERROR(INDEX(Analytica!$F$59:$AY$132,MATCH($B32,Analytica!$B$59:$B$162,0),MATCH(S$15&amp;S$10,Analytica!$F$58:$AY$58&amp;Analytica!$F$51:'Analytica'!$AY$51,0)),"")</f>
        <v>404.61656451024021</v>
      </c>
      <c r="T32" s="637">
        <f t="array" ref="T32">IFERROR(INDEX(Analytica!$F$59:$AY$132,MATCH($B32,Analytica!$B$59:$B$162,0),MATCH(T$15&amp;T$10,Analytica!$F$58:$AY$58&amp;Analytica!$F$51:'Analytica'!$AY$51,0)),"")</f>
        <v>407.70315451742715</v>
      </c>
      <c r="U32" s="637">
        <f t="array" ref="U32">IFERROR(INDEX(Analytica!$F$59:$AY$132,MATCH($B32,Analytica!$B$59:$B$162,0),MATCH(U$15&amp;U$10,Analytica!$F$58:$AY$58&amp;Analytica!$F$51:'Analytica'!$AY$51,0)),"")</f>
        <v>410.78974452461404</v>
      </c>
      <c r="V32" s="637">
        <f t="array" ref="V32">IFERROR(INDEX(Analytica!$F$59:$AY$132,MATCH($B32,Analytica!$B$59:$B$162,0),MATCH(V$15&amp;V$10,Analytica!$F$58:$AY$58&amp;Analytica!$F$51:'Analytica'!$AY$51,0)),"")</f>
        <v>414.21103231367636</v>
      </c>
      <c r="W32" s="637">
        <f t="array" ref="W32">IFERROR(INDEX(Analytica!$F$59:$AY$132,MATCH($B32,Analytica!$B$59:$B$162,0),MATCH(W$15&amp;W$10,Analytica!$F$58:$AY$58&amp;Analytica!$F$51:'Analytica'!$AY$51,0)),"")</f>
        <v>10.708184629650672</v>
      </c>
      <c r="X32" s="637">
        <f t="array" ref="X32">IFERROR(INDEX(Analytica!$F$59:$AY$132,MATCH($B32,Analytica!$B$59:$B$162,0),MATCH(X$15&amp;X$10,Analytica!$F$58:$AY$58&amp;Analytica!$F$51:'Analytica'!$AY$51,0)),"")</f>
        <v>10.924647241776485</v>
      </c>
      <c r="Y32" s="637">
        <f t="array" ref="Y32">IFERROR(INDEX(Analytica!$F$59:$AY$132,MATCH($B32,Analytica!$B$59:$B$162,0),MATCH(Y$15&amp;Y$10,Analytica!$F$58:$AY$58&amp;Analytica!$F$51:'Analytica'!$AY$51,0)),"")</f>
        <v>11.091323102164578</v>
      </c>
      <c r="Z32" s="637">
        <f t="array" ref="Z32">IFERROR(INDEX(Analytica!$F$59:$AY$132,MATCH($B32,Analytica!$B$59:$B$162,0),MATCH(Z$15&amp;Z$10,Analytica!$F$58:$AY$58&amp;Analytica!$F$51:'Analytica'!$AY$51,0)),"")</f>
        <v>11.183697872469262</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09/21/2023 12:20:17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2198.7717443440724</v>
      </c>
      <c r="R33" s="637">
        <f t="array" ref="R33">IFERROR(INDEX(Analytica!$F$59:$AY$132,MATCH($B33,Analytica!$B$59:$B$162,0),MATCH(R$15&amp;R$10,Analytica!$F$58:$AY$58&amp;Analytica!$F$51:'Analytica'!$AY$51,0)),"")</f>
        <v>1677.37606856464</v>
      </c>
      <c r="S33" s="637">
        <f t="array" ref="S33">IFERROR(INDEX(Analytica!$F$59:$AY$132,MATCH($B33,Analytica!$B$59:$B$162,0),MATCH(S$15&amp;S$10,Analytica!$F$58:$AY$58&amp;Analytica!$F$51:'Analytica'!$AY$51,0)),"")</f>
        <v>1155.9803927852079</v>
      </c>
      <c r="T33" s="637">
        <f t="array" ref="T33">IFERROR(INDEX(Analytica!$F$59:$AY$132,MATCH($B33,Analytica!$B$59:$B$162,0),MATCH(T$15&amp;T$10,Analytica!$F$58:$AY$58&amp;Analytica!$F$51:'Analytica'!$AY$51,0)),"")</f>
        <v>1094.1474529170425</v>
      </c>
      <c r="U33" s="637">
        <f t="array" ref="U33">IFERROR(INDEX(Analytica!$F$59:$AY$132,MATCH($B33,Analytica!$B$59:$B$162,0),MATCH(U$15&amp;U$10,Analytica!$F$58:$AY$58&amp;Analytica!$F$51:'Analytica'!$AY$51,0)),"")</f>
        <v>1032.3145130488772</v>
      </c>
      <c r="V33" s="637">
        <f t="array" ref="V33">IFERROR(INDEX(Analytica!$F$59:$AY$132,MATCH($B33,Analytica!$B$59:$B$162,0),MATCH(V$15&amp;V$10,Analytica!$F$58:$AY$58&amp;Analytica!$F$51:'Analytica'!$AY$51,0)),"")</f>
        <v>257.17260066817499</v>
      </c>
      <c r="W33" s="637">
        <f t="array" ref="W33">IFERROR(INDEX(Analytica!$F$59:$AY$132,MATCH($B33,Analytica!$B$59:$B$162,0),MATCH(W$15&amp;W$10,Analytica!$F$58:$AY$58&amp;Analytica!$F$51:'Analytica'!$AY$51,0)),"")</f>
        <v>59.366837097289952</v>
      </c>
      <c r="X33" s="637">
        <f t="array" ref="X33">IFERROR(INDEX(Analytica!$F$59:$AY$132,MATCH($B33,Analytica!$B$59:$B$162,0),MATCH(X$15&amp;X$10,Analytica!$F$58:$AY$58&amp;Analytica!$F$51:'Analytica'!$AY$51,0)),"")</f>
        <v>31.211470605200613</v>
      </c>
      <c r="Y33" s="637">
        <f t="array" ref="Y33">IFERROR(INDEX(Analytica!$F$59:$AY$132,MATCH($B33,Analytica!$B$59:$B$162,0),MATCH(Y$15&amp;Y$10,Analytica!$F$58:$AY$58&amp;Analytica!$F$51:'Analytica'!$AY$51,0)),"")</f>
        <v>27.872491852319683</v>
      </c>
      <c r="Z33" s="637">
        <f t="array" ref="Z33">IFERROR(INDEX(Analytica!$F$59:$AY$132,MATCH($B33,Analytica!$B$59:$B$162,0),MATCH(Z$15&amp;Z$10,Analytica!$F$58:$AY$58&amp;Analytica!$F$51:'Analytica'!$AY$51,0)),"")</f>
        <v>6.9436602180407245</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09/21/2023 12:20:17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240.3632913501834</v>
      </c>
      <c r="R34" s="637">
        <f t="array" ref="R34">IFERROR(INDEX(Analytica!$F$59:$AY$132,MATCH($B34,Analytica!$B$59:$B$162,0),MATCH(R$15&amp;R$10,Analytica!$F$58:$AY$58&amp;Analytica!$F$51:'Analytica'!$AY$51,0)),"")</f>
        <v>244.4565328872676</v>
      </c>
      <c r="S34" s="637">
        <f t="array" ref="S34">IFERROR(INDEX(Analytica!$F$59:$AY$132,MATCH($B34,Analytica!$B$59:$B$162,0),MATCH(S$15&amp;S$10,Analytica!$F$58:$AY$58&amp;Analytica!$F$51:'Analytica'!$AY$51,0)),"")</f>
        <v>248.54977442435177</v>
      </c>
      <c r="T34" s="637">
        <f t="array" ref="T34">IFERROR(INDEX(Analytica!$F$59:$AY$132,MATCH($B34,Analytica!$B$59:$B$162,0),MATCH(T$15&amp;T$10,Analytica!$F$58:$AY$58&amp;Analytica!$F$51:'Analytica'!$AY$51,0)),"")</f>
        <v>251.27334974387253</v>
      </c>
      <c r="U34" s="637">
        <f t="array" ref="U34">IFERROR(INDEX(Analytica!$F$59:$AY$132,MATCH($B34,Analytica!$B$59:$B$162,0),MATCH(U$15&amp;U$10,Analytica!$F$58:$AY$58&amp;Analytica!$F$51:'Analytica'!$AY$51,0)),"")</f>
        <v>253.99692506339329</v>
      </c>
      <c r="V34" s="637">
        <f t="array" ref="V34">IFERROR(INDEX(Analytica!$F$59:$AY$132,MATCH($B34,Analytica!$B$59:$B$162,0),MATCH(V$15&amp;V$10,Analytica!$F$58:$AY$58&amp;Analytica!$F$51:'Analytica'!$AY$51,0)),"")</f>
        <v>257.17260066817499</v>
      </c>
      <c r="W34" s="637">
        <f t="array" ref="W34">IFERROR(INDEX(Analytica!$F$59:$AY$132,MATCH($B34,Analytica!$B$59:$B$162,0),MATCH(W$15&amp;W$10,Analytica!$F$58:$AY$58&amp;Analytica!$F$51:'Analytica'!$AY$51,0)),"")</f>
        <v>6.4898088664549514</v>
      </c>
      <c r="X34" s="637">
        <f t="array" ref="X34">IFERROR(INDEX(Analytica!$F$59:$AY$132,MATCH($B34,Analytica!$B$59:$B$162,0),MATCH(X$15&amp;X$10,Analytica!$F$58:$AY$58&amp;Analytica!$F$51:'Analytica'!$AY$51,0)),"")</f>
        <v>6.7108439094574974</v>
      </c>
      <c r="Y34" s="637">
        <f t="array" ref="Y34">IFERROR(INDEX(Analytica!$F$59:$AY$132,MATCH($B34,Analytica!$B$59:$B$162,0),MATCH(Y$15&amp;Y$10,Analytica!$F$58:$AY$58&amp;Analytica!$F$51:'Analytica'!$AY$51,0)),"")</f>
        <v>6.8579169767116186</v>
      </c>
      <c r="Z34" s="637">
        <f t="array" ref="Z34">IFERROR(INDEX(Analytica!$F$59:$AY$132,MATCH($B34,Analytica!$B$59:$B$162,0),MATCH(Z$15&amp;Z$10,Analytica!$F$58:$AY$58&amp;Analytica!$F$51:'Analytica'!$AY$51,0)),"")</f>
        <v>6.9436602180407245</v>
      </c>
      <c r="AA34" s="711">
        <f t="shared" si="41"/>
        <v>23</v>
      </c>
      <c r="AB34" s="711">
        <f t="shared" si="4"/>
        <v>23</v>
      </c>
      <c r="AC34" s="711">
        <f t="shared" si="42"/>
        <v>2025</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09/21/2023 12:20:17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09/21/2023 12:20:17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100.95258236707701</v>
      </c>
      <c r="R36" s="637">
        <f t="array" ref="R36">IFERROR(INDEX(Analytica!$F$59:$AY$132,MATCH($B36,Analytica!$B$59:$B$162,0),MATCH(R$15&amp;R$10,Analytica!$F$58:$AY$58&amp;Analytica!$F$51:'Analytica'!$AY$51,0)),"")</f>
        <v>102.36283931314476</v>
      </c>
      <c r="S36" s="637">
        <f t="array" ref="S36">IFERROR(INDEX(Analytica!$F$59:$AY$132,MATCH($B36,Analytica!$B$59:$B$162,0),MATCH(S$15&amp;S$10,Analytica!$F$58:$AY$58&amp;Analytica!$F$51:'Analytica'!$AY$51,0)),"")</f>
        <v>103.77309625921252</v>
      </c>
      <c r="T36" s="637">
        <f t="array" ref="T36">IFERROR(INDEX(Analytica!$F$59:$AY$132,MATCH($B36,Analytica!$B$59:$B$162,0),MATCH(T$15&amp;T$10,Analytica!$F$58:$AY$58&amp;Analytica!$F$51:'Analytica'!$AY$51,0)),"")</f>
        <v>105.37719050256098</v>
      </c>
      <c r="U36" s="637">
        <f t="array" ref="U36">IFERROR(INDEX(Analytica!$F$59:$AY$132,MATCH($B36,Analytica!$B$59:$B$162,0),MATCH(U$15&amp;U$10,Analytica!$F$58:$AY$58&amp;Analytica!$F$51:'Analytica'!$AY$51,0)),"")</f>
        <v>106.98128474590941</v>
      </c>
      <c r="V36" s="637">
        <f t="array" ref="V36">IFERROR(INDEX(Analytica!$F$59:$AY$132,MATCH($B36,Analytica!$B$59:$B$162,0),MATCH(V$15&amp;V$10,Analytica!$F$58:$AY$58&amp;Analytica!$F$51:'Analytica'!$AY$51,0)),"")</f>
        <v>108.46433187891265</v>
      </c>
      <c r="W36" s="637">
        <f t="array" ref="W36">IFERROR(INDEX(Analytica!$F$59:$AY$132,MATCH($B36,Analytica!$B$59:$B$162,0),MATCH(W$15&amp;W$10,Analytica!$F$58:$AY$58&amp;Analytica!$F$51:'Analytica'!$AY$51,0)),"")</f>
        <v>2.7257197239110793</v>
      </c>
      <c r="X36" s="637">
        <f t="array" ref="X36">IFERROR(INDEX(Analytica!$F$59:$AY$132,MATCH($B36,Analytica!$B$59:$B$162,0),MATCH(X$15&amp;X$10,Analytica!$F$58:$AY$58&amp;Analytica!$F$51:'Analytica'!$AY$51,0)),"")</f>
        <v>2.8018735989987382</v>
      </c>
      <c r="Y36" s="637">
        <f t="array" ref="Y36">IFERROR(INDEX(Analytica!$F$59:$AY$132,MATCH($B36,Analytica!$B$59:$B$162,0),MATCH(Y$15&amp;Y$10,Analytica!$F$58:$AY$58&amp;Analytica!$F$51:'Analytica'!$AY$51,0)),"")</f>
        <v>2.8884946881395539</v>
      </c>
      <c r="Z36" s="637">
        <f t="array" ref="Z36">IFERROR(INDEX(Analytica!$F$59:$AY$132,MATCH($B36,Analytica!$B$59:$B$162,0),MATCH(Z$15&amp;Z$10,Analytica!$F$58:$AY$58&amp;Analytica!$F$51:'Analytica'!$AY$51,0)),"")</f>
        <v>2.9285369607306415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09/21/2023 12:20:17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615.65608841634025</v>
      </c>
      <c r="R37" s="637">
        <f t="array" ref="R37">IFERROR(INDEX(Analytica!$F$59:$AY$132,MATCH($B37,Analytica!$B$59:$B$162,0),MATCH(R$15&amp;R$10,Analytica!$F$58:$AY$58&amp;Analytica!$F$51:'Analytica'!$AY$51,0)),"")</f>
        <v>581.65822367545468</v>
      </c>
      <c r="S37" s="637">
        <f t="array" ref="S37">IFERROR(INDEX(Analytica!$F$59:$AY$132,MATCH($B37,Analytica!$B$59:$B$162,0),MATCH(S$15&amp;S$10,Analytica!$F$58:$AY$58&amp;Analytica!$F$51:'Analytica'!$AY$51,0)),"")</f>
        <v>547.6603589345691</v>
      </c>
      <c r="T37" s="637">
        <f t="array" ref="T37">IFERROR(INDEX(Analytica!$F$59:$AY$132,MATCH($B37,Analytica!$B$59:$B$162,0),MATCH(T$15&amp;T$10,Analytica!$F$58:$AY$58&amp;Analytica!$F$51:'Analytica'!$AY$51,0)),"")</f>
        <v>105.37719050256098</v>
      </c>
      <c r="U37" s="637">
        <f t="array" ref="U37">IFERROR(INDEX(Analytica!$F$59:$AY$132,MATCH($B37,Analytica!$B$59:$B$162,0),MATCH(U$15&amp;U$10,Analytica!$F$58:$AY$58&amp;Analytica!$F$51:'Analytica'!$AY$51,0)),"")</f>
        <v>106.98128474590941</v>
      </c>
      <c r="V37" s="637">
        <f t="array" ref="V37">IFERROR(INDEX(Analytica!$F$59:$AY$132,MATCH($B37,Analytica!$B$59:$B$162,0),MATCH(V$15&amp;V$10,Analytica!$F$58:$AY$58&amp;Analytica!$F$51:'Analytica'!$AY$51,0)),"")</f>
        <v>108.46433187891265</v>
      </c>
      <c r="W37" s="637">
        <f t="array" ref="W37">IFERROR(INDEX(Analytica!$F$59:$AY$132,MATCH($B37,Analytica!$B$59:$B$162,0),MATCH(W$15&amp;W$10,Analytica!$F$58:$AY$58&amp;Analytica!$F$51:'Analytica'!$AY$51,0)),"")</f>
        <v>12.46703579043089</v>
      </c>
      <c r="X37" s="637">
        <f t="array" ref="X37">IFERROR(INDEX(Analytica!$F$59:$AY$132,MATCH($B37,Analytica!$B$59:$B$162,0),MATCH(X$15&amp;X$10,Analytica!$F$58:$AY$58&amp;Analytica!$F$51:'Analytica'!$AY$51,0)),"")</f>
        <v>11.090122268425025</v>
      </c>
      <c r="Y37" s="637">
        <f t="array" ref="Y37">IFERROR(INDEX(Analytica!$F$59:$AY$132,MATCH($B37,Analytica!$B$59:$B$162,0),MATCH(Y$15&amp;Y$10,Analytica!$F$58:$AY$58&amp;Analytica!$F$51:'Analytica'!$AY$51,0)),"")</f>
        <v>2.1663710161046654</v>
      </c>
      <c r="Z37" s="637">
        <f t="array" ref="Z37">IFERROR(INDEX(Analytica!$F$59:$AY$132,MATCH($B37,Analytica!$B$59:$B$162,0),MATCH(Z$15&amp;Z$10,Analytica!$F$58:$AY$58&amp;Analytica!$F$51:'Analytica'!$AY$51,0)),"")</f>
        <v>2.1964027205479812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09/21/2023 12:20:17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09/21/2023 12:20:17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09/21/2023 12:20:17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2779.1028644940416</v>
      </c>
      <c r="T40" s="637">
        <f t="array" ref="T40">IFERROR(INDEX(Analytica!$F$59:$AY$132,MATCH($B40,Analytica!$B$59:$B$162,0),MATCH(T$15&amp;T$10,Analytica!$F$58:$AY$58&amp;Analytica!$F$51:'Analytica'!$AY$51,0)),"")</f>
        <v>2802.2752782397774</v>
      </c>
      <c r="U40" s="637">
        <f t="array" ref="U40">IFERROR(INDEX(Analytica!$F$59:$AY$132,MATCH($B40,Analytica!$B$59:$B$162,0),MATCH(U$15&amp;U$10,Analytica!$F$58:$AY$58&amp;Analytica!$F$51:'Analytica'!$AY$51,0)),"")</f>
        <v>2825.4476919855119</v>
      </c>
      <c r="V40" s="637">
        <f t="array" ref="V40">IFERROR(INDEX(Analytica!$F$59:$AY$132,MATCH($B40,Analytica!$B$59:$B$162,0),MATCH(V$15&amp;V$10,Analytica!$F$58:$AY$58&amp;Analytica!$F$51:'Analytica'!$AY$51,0)),"")</f>
        <v>2885.0615408688536</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75.035777341339127</v>
      </c>
      <c r="Y40" s="637">
        <f t="array" ref="Y40">IFERROR(INDEX(Analytica!$F$59:$AY$132,MATCH($B40,Analytica!$B$59:$B$162,0),MATCH(Y$15&amp;Y$10,Analytica!$F$58:$AY$58&amp;Analytica!$F$51:'Analytica'!$AY$51,0)),"")</f>
        <v>76.287087683608817</v>
      </c>
      <c r="Z40" s="637">
        <f t="array" ref="Z40">IFERROR(INDEX(Analytica!$F$59:$AY$132,MATCH($B40,Analytica!$B$59:$B$162,0),MATCH(Z$15&amp;Z$10,Analytica!$F$58:$AY$58&amp;Analytica!$F$51:'Analytica'!$AY$51,0)),"")</f>
        <v>77.896661603459052</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09/21/2023 12:20:17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2887.9722792272814</v>
      </c>
      <c r="T41" s="637">
        <f t="array" ref="T41">IFERROR(INDEX(Analytica!$F$59:$AY$132,MATCH($B41,Analytica!$B$59:$B$162,0),MATCH(T$15&amp;T$10,Analytica!$F$58:$AY$58&amp;Analytica!$F$51:'Analytica'!$AY$51,0)),"")</f>
        <v>2842.5151832835504</v>
      </c>
      <c r="U41" s="637">
        <f t="array" ref="U41">IFERROR(INDEX(Analytica!$F$59:$AY$132,MATCH($B41,Analytica!$B$59:$B$162,0),MATCH(U$15&amp;U$10,Analytica!$F$58:$AY$58&amp;Analytica!$F$51:'Analytica'!$AY$51,0)),"")</f>
        <v>2797.058087339818</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77.975251539136593</v>
      </c>
      <c r="Y41" s="637">
        <f t="array" ref="Y41">IFERROR(INDEX(Analytica!$F$59:$AY$132,MATCH($B41,Analytica!$B$59:$B$162,0),MATCH(Y$15&amp;Y$10,Analytica!$F$58:$AY$58&amp;Analytica!$F$51:'Analytica'!$AY$51,0)),"")</f>
        <v>75.520568358175083</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09/21/2023 12:20:17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711">
        <f t="shared" si="42"/>
        <v>2025</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09/21/2023 12:20:17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3259.8087910028635</v>
      </c>
      <c r="T43" s="637">
        <f t="array" ref="T43">IFERROR(INDEX(Analytica!$F$59:$AY$132,MATCH($B43,Analytica!$B$59:$B$162,0),MATCH(T$15&amp;T$10,Analytica!$F$58:$AY$58&amp;Analytica!$F$51:'Analytica'!$AY$51,0)),"")</f>
        <v>3281.9757365715932</v>
      </c>
      <c r="U43" s="637">
        <f t="array" ref="U43">IFERROR(INDEX(Analytica!$F$59:$AY$132,MATCH($B43,Analytica!$B$59:$B$162,0),MATCH(U$15&amp;U$10,Analytica!$F$58:$AY$58&amp;Analytica!$F$51:'Analytica'!$AY$51,0)),"")</f>
        <v>3304.1426821403229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66.011128017807991</v>
      </c>
      <c r="Y43" s="637">
        <f t="array" ref="Y43">IFERROR(INDEX(Analytica!$F$59:$AY$132,MATCH($B43,Analytica!$B$59:$B$162,0),MATCH(Y$15&amp;Y$10,Analytica!$F$58:$AY$58&amp;Analytica!$F$51:'Analytica'!$AY$51,0)),"")</f>
        <v>66.908889313341547</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09/21/2023 12:20:17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09/21/2023 12:20:17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496.02431464990411</v>
      </c>
      <c r="R45" s="637">
        <f t="array" ref="R45">IFERROR(INDEX(Analytica!$F$59:$AY$132,MATCH($B45,Analytica!$B$59:$B$162,0),MATCH(R$15&amp;R$10,Analytica!$F$58:$AY$58&amp;Analytica!$F$51:'Analytica'!$AY$51,0)),"")</f>
        <v>504.86263896951328</v>
      </c>
      <c r="S45" s="637">
        <f t="array" ref="S45">IFERROR(INDEX(Analytica!$F$59:$AY$132,MATCH($B45,Analytica!$B$59:$B$162,0),MATCH(S$15&amp;S$10,Analytica!$F$58:$AY$58&amp;Analytica!$F$51:'Analytica'!$AY$51,0)),"")</f>
        <v>363.56136717159279</v>
      </c>
      <c r="T45" s="637">
        <f t="array" ref="T45">IFERROR(INDEX(Analytica!$F$59:$AY$132,MATCH($B45,Analytica!$B$59:$B$162,0),MATCH(T$15&amp;T$10,Analytica!$F$58:$AY$58&amp;Analytica!$F$51:'Analytica'!$AY$51,0)),"")</f>
        <v>371.50085823323019</v>
      </c>
      <c r="U45" s="637">
        <f t="array" ref="U45">IFERROR(INDEX(Analytica!$F$59:$AY$132,MATCH($B45,Analytica!$B$59:$B$162,0),MATCH(U$15&amp;U$10,Analytica!$F$58:$AY$58&amp;Analytica!$F$51:'Analytica'!$AY$51,0)),"")</f>
        <v>379.44034929486759</v>
      </c>
      <c r="V45" s="637">
        <f t="array" ref="V45">IFERROR(INDEX(Analytica!$F$59:$AY$132,MATCH($B45,Analytica!$B$59:$B$162,0),MATCH(V$15&amp;V$10,Analytica!$F$58:$AY$58&amp;Analytica!$F$51:'Analytica'!$AY$51,0)),"")</f>
        <v>387.39622422821134</v>
      </c>
      <c r="W45" s="637">
        <f t="array" ref="W45">IFERROR(INDEX(Analytica!$F$59:$AY$132,MATCH($B45,Analytica!$B$59:$B$162,0),MATCH(W$15&amp;W$10,Analytica!$F$58:$AY$58&amp;Analytica!$F$51:'Analytica'!$AY$51,0)),"")</f>
        <v>13.392656495547412</v>
      </c>
      <c r="X45" s="637">
        <f t="array" ref="X45">IFERROR(INDEX(Analytica!$F$59:$AY$132,MATCH($B45,Analytica!$B$59:$B$162,0),MATCH(X$15&amp;X$10,Analytica!$F$58:$AY$58&amp;Analytica!$F$51:'Analytica'!$AY$51,0)),"")</f>
        <v>9.8161569136330051</v>
      </c>
      <c r="Y45" s="637">
        <f t="array" ref="Y45">IFERROR(INDEX(Analytica!$F$59:$AY$132,MATCH($B45,Analytica!$B$59:$B$162,0),MATCH(Y$15&amp;Y$10,Analytica!$F$58:$AY$58&amp;Analytica!$F$51:'Analytica'!$AY$51,0)),"")</f>
        <v>10.244889430961425</v>
      </c>
      <c r="Z45" s="637">
        <f t="array" ref="Z45">IFERROR(INDEX(Analytica!$F$59:$AY$132,MATCH($B45,Analytica!$B$59:$B$162,0),MATCH(Z$15&amp;Z$10,Analytica!$F$58:$AY$58&amp;Analytica!$F$51:'Analytica'!$AY$51,0)),"")</f>
        <v>10.459698054161706</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09/21/2023 12:20:17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350.63787759734595</v>
      </c>
      <c r="R46" s="637">
        <f t="array" ref="R46">IFERROR(INDEX(Analytica!$F$59:$AY$132,MATCH($B46,Analytica!$B$59:$B$162,0),MATCH(R$15&amp;R$10,Analytica!$F$58:$AY$58&amp;Analytica!$F$51:'Analytica'!$AY$51,0)),"")</f>
        <v>357.09962238446946</v>
      </c>
      <c r="S46" s="637">
        <f t="array" ref="S46">IFERROR(INDEX(Analytica!$F$59:$AY$132,MATCH($B46,Analytica!$B$59:$B$162,0),MATCH(S$15&amp;S$10,Analytica!$F$58:$AY$58&amp;Analytica!$F$51:'Analytica'!$AY$51,0)),"")</f>
        <v>363.56136717159279</v>
      </c>
      <c r="T46" s="637">
        <f t="array" ref="T46">IFERROR(INDEX(Analytica!$F$59:$AY$132,MATCH($B46,Analytica!$B$59:$B$162,0),MATCH(T$15&amp;T$10,Analytica!$F$58:$AY$58&amp;Analytica!$F$51:'Analytica'!$AY$51,0)),"")</f>
        <v>371.50085823323019</v>
      </c>
      <c r="U46" s="637">
        <f t="array" ref="U46">IFERROR(INDEX(Analytica!$F$59:$AY$132,MATCH($B46,Analytica!$B$59:$B$162,0),MATCH(U$15&amp;U$10,Analytica!$F$58:$AY$58&amp;Analytica!$F$51:'Analytica'!$AY$51,0)),"")</f>
        <v>379.44034929486759</v>
      </c>
      <c r="V46" s="637">
        <f t="array" ref="V46">IFERROR(INDEX(Analytica!$F$59:$AY$132,MATCH($B46,Analytica!$B$59:$B$162,0),MATCH(V$15&amp;V$10,Analytica!$F$58:$AY$58&amp;Analytica!$F$51:'Analytica'!$AY$51,0)),"")</f>
        <v>387.39622422821134</v>
      </c>
      <c r="W46" s="637">
        <f t="array" ref="W46">IFERROR(INDEX(Analytica!$F$59:$AY$132,MATCH($B46,Analytica!$B$59:$B$162,0),MATCH(W$15&amp;W$10,Analytica!$F$58:$AY$58&amp;Analytica!$F$51:'Analytica'!$AY$51,0)),"")</f>
        <v>9.4672226951283402</v>
      </c>
      <c r="X46" s="637">
        <f t="array" ref="X46">IFERROR(INDEX(Analytica!$F$59:$AY$132,MATCH($B46,Analytica!$B$59:$B$162,0),MATCH(X$15&amp;X$10,Analytica!$F$58:$AY$58&amp;Analytica!$F$51:'Analytica'!$AY$51,0)),"")</f>
        <v>9.8161569136330051</v>
      </c>
      <c r="Y46" s="637">
        <f t="array" ref="Y46">IFERROR(INDEX(Analytica!$F$59:$AY$132,MATCH($B46,Analytica!$B$59:$B$162,0),MATCH(Y$15&amp;Y$10,Analytica!$F$58:$AY$58&amp;Analytica!$F$51:'Analytica'!$AY$51,0)),"")</f>
        <v>10.244889430961425</v>
      </c>
      <c r="Z46" s="637">
        <f t="array" ref="Z46">IFERROR(INDEX(Analytica!$F$59:$AY$132,MATCH($B46,Analytica!$B$59:$B$162,0),MATCH(Z$15&amp;Z$10,Analytica!$F$58:$AY$58&amp;Analytica!$F$51:'Analytica'!$AY$51,0)),"")</f>
        <v>10.459698054161706</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09/21/2023 12:20:17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496.02431464990411</v>
      </c>
      <c r="R47" s="637">
        <f t="array" ref="R47">IFERROR(INDEX(Analytica!$F$59:$AY$132,MATCH($B47,Analytica!$B$59:$B$162,0),MATCH(R$15&amp;R$10,Analytica!$F$58:$AY$58&amp;Analytica!$F$51:'Analytica'!$AY$51,0)),"")</f>
        <v>504.86263896951328</v>
      </c>
      <c r="S47" s="637">
        <f t="array" ref="S47">IFERROR(INDEX(Analytica!$F$59:$AY$132,MATCH($B47,Analytica!$B$59:$B$162,0),MATCH(S$15&amp;S$10,Analytica!$F$58:$AY$58&amp;Analytica!$F$51:'Analytica'!$AY$51,0)),"")</f>
        <v>363.56136717159279</v>
      </c>
      <c r="T47" s="637">
        <f t="array" ref="T47">IFERROR(INDEX(Analytica!$F$59:$AY$132,MATCH($B47,Analytica!$B$59:$B$162,0),MATCH(T$15&amp;T$10,Analytica!$F$58:$AY$58&amp;Analytica!$F$51:'Analytica'!$AY$51,0)),"")</f>
        <v>371.50085823323019</v>
      </c>
      <c r="U47" s="637">
        <f t="array" ref="U47">IFERROR(INDEX(Analytica!$F$59:$AY$132,MATCH($B47,Analytica!$B$59:$B$162,0),MATCH(U$15&amp;U$10,Analytica!$F$58:$AY$58&amp;Analytica!$F$51:'Analytica'!$AY$51,0)),"")</f>
        <v>379.44034929486759</v>
      </c>
      <c r="V47" s="637">
        <f t="array" ref="V47">IFERROR(INDEX(Analytica!$F$59:$AY$132,MATCH($B47,Analytica!$B$59:$B$162,0),MATCH(V$15&amp;V$10,Analytica!$F$58:$AY$58&amp;Analytica!$F$51:'Analytica'!$AY$51,0)),"")</f>
        <v>387.39622422821134</v>
      </c>
      <c r="W47" s="637">
        <f t="array" ref="W47">IFERROR(INDEX(Analytica!$F$59:$AY$132,MATCH($B47,Analytica!$B$59:$B$162,0),MATCH(W$15&amp;W$10,Analytica!$F$58:$AY$58&amp;Analytica!$F$51:'Analytica'!$AY$51,0)),"")</f>
        <v>13.392656495547412</v>
      </c>
      <c r="X47" s="637">
        <f t="array" ref="X47">IFERROR(INDEX(Analytica!$F$59:$AY$132,MATCH($B47,Analytica!$B$59:$B$162,0),MATCH(X$15&amp;X$10,Analytica!$F$58:$AY$58&amp;Analytica!$F$51:'Analytica'!$AY$51,0)),"")</f>
        <v>9.8161569136330051</v>
      </c>
      <c r="Y47" s="637">
        <f t="array" ref="Y47">IFERROR(INDEX(Analytica!$F$59:$AY$132,MATCH($B47,Analytica!$B$59:$B$162,0),MATCH(Y$15&amp;Y$10,Analytica!$F$58:$AY$58&amp;Analytica!$F$51:'Analytica'!$AY$51,0)),"")</f>
        <v>10.244889430961425</v>
      </c>
      <c r="Z47" s="637">
        <f t="array" ref="Z47">IFERROR(INDEX(Analytica!$F$59:$AY$132,MATCH($B47,Analytica!$B$59:$B$162,0),MATCH(Z$15&amp;Z$10,Analytica!$F$58:$AY$58&amp;Analytica!$F$51:'Analytica'!$AY$51,0)),"")</f>
        <v>10.459698054161706</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09/21/2023 12:20:17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545.62674611489456</v>
      </c>
      <c r="R48" s="637">
        <f t="array" ref="R48">IFERROR(INDEX(Analytica!$F$59:$AY$132,MATCH($B48,Analytica!$B$59:$B$162,0),MATCH(R$15&amp;R$10,Analytica!$F$58:$AY$58&amp;Analytica!$F$51:'Analytica'!$AY$51,0)),"")</f>
        <v>551.3701241175919</v>
      </c>
      <c r="S48" s="637">
        <f t="array" ref="S48">IFERROR(INDEX(Analytica!$F$59:$AY$132,MATCH($B48,Analytica!$B$59:$B$162,0),MATCH(S$15&amp;S$10,Analytica!$F$58:$AY$58&amp;Analytica!$F$51:'Analytica'!$AY$51,0)),"")</f>
        <v>557.11350212028935</v>
      </c>
      <c r="T48" s="637">
        <f t="array" ref="T48">IFERROR(INDEX(Analytica!$F$59:$AY$132,MATCH($B48,Analytica!$B$59:$B$162,0),MATCH(T$15&amp;T$10,Analytica!$F$58:$AY$58&amp;Analytica!$F$51:'Analytica'!$AY$51,0)),"")</f>
        <v>565.34503849646865</v>
      </c>
      <c r="U48" s="637">
        <f t="array" ref="U48">IFERROR(INDEX(Analytica!$F$59:$AY$132,MATCH($B48,Analytica!$B$59:$B$162,0),MATCH(U$15&amp;U$10,Analytica!$F$58:$AY$58&amp;Analytica!$F$51:'Analytica'!$AY$51,0)),"")</f>
        <v>573.57657487264794</v>
      </c>
      <c r="V48" s="637">
        <f t="array" ref="V48">IFERROR(INDEX(Analytica!$F$59:$AY$132,MATCH($B48,Analytica!$B$59:$B$162,0),MATCH(V$15&amp;V$10,Analytica!$F$58:$AY$58&amp;Analytica!$F$51:'Analytica'!$AY$51,0)),"")</f>
        <v>580.79572210982678</v>
      </c>
      <c r="W48" s="637">
        <f t="array" ref="W48">IFERROR(INDEX(Analytica!$F$59:$AY$132,MATCH($B48,Analytica!$B$59:$B$162,0),MATCH(W$15&amp;W$10,Analytica!$F$58:$AY$58&amp;Analytica!$F$51:'Analytica'!$AY$51,0)),"")</f>
        <v>14.731922145102153</v>
      </c>
      <c r="X48" s="637">
        <f t="array" ref="X48">IFERROR(INDEX(Analytica!$F$59:$AY$132,MATCH($B48,Analytica!$B$59:$B$162,0),MATCH(X$15&amp;X$10,Analytica!$F$58:$AY$58&amp;Analytica!$F$51:'Analytica'!$AY$51,0)),"")</f>
        <v>15.042064557247812</v>
      </c>
      <c r="Y48" s="637">
        <f t="array" ref="Y48">IFERROR(INDEX(Analytica!$F$59:$AY$132,MATCH($B48,Analytica!$B$59:$B$162,0),MATCH(Y$15&amp;Y$10,Analytica!$F$58:$AY$58&amp;Analytica!$F$51:'Analytica'!$AY$51,0)),"")</f>
        <v>15.486567521561494</v>
      </c>
      <c r="Z48" s="637">
        <f t="array" ref="Z48">IFERROR(INDEX(Analytica!$F$59:$AY$132,MATCH($B48,Analytica!$B$59:$B$162,0),MATCH(Z$15&amp;Z$10,Analytica!$F$58:$AY$58&amp;Analytica!$F$51:'Analytica'!$AY$51,0)),"")</f>
        <v>15.681484496965323</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09/21/2023 12:20:17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1769.9627067509173</v>
      </c>
      <c r="R49" s="637">
        <f t="array" ref="R49">IFERROR(INDEX(Analytica!$F$59:$AY$132,MATCH($B49,Analytica!$B$59:$B$162,0),MATCH(R$15&amp;R$10,Analytica!$F$58:$AY$58&amp;Analytica!$F$51:'Analytica'!$AY$51,0)),"")</f>
        <v>1358.7481529305462</v>
      </c>
      <c r="S49" s="637">
        <f t="array" ref="S49">IFERROR(INDEX(Analytica!$F$59:$AY$132,MATCH($B49,Analytica!$B$59:$B$162,0),MATCH(S$15&amp;S$10,Analytica!$F$58:$AY$58&amp;Analytica!$F$51:'Analytica'!$AY$51,0)),"")</f>
        <v>947.53359911017537</v>
      </c>
      <c r="T49" s="637">
        <f t="array" ref="T49">IFERROR(INDEX(Analytica!$F$59:$AY$132,MATCH($B49,Analytica!$B$59:$B$162,0),MATCH(T$15&amp;T$10,Analytica!$F$58:$AY$58&amp;Analytica!$F$51:'Analytica'!$AY$51,0)),"")</f>
        <v>902.30995825479886</v>
      </c>
      <c r="U49" s="637">
        <f t="array" ref="U49">IFERROR(INDEX(Analytica!$F$59:$AY$132,MATCH($B49,Analytica!$B$59:$B$162,0),MATCH(U$15&amp;U$10,Analytica!$F$58:$AY$58&amp;Analytica!$F$51:'Analytica'!$AY$51,0)),"")</f>
        <v>857.08631739942234</v>
      </c>
      <c r="V49" s="637">
        <f t="array" ref="V49">IFERROR(INDEX(Analytica!$F$59:$AY$132,MATCH($B49,Analytica!$B$59:$B$162,0),MATCH(V$15&amp;V$10,Analytica!$F$58:$AY$58&amp;Analytica!$F$51:'Analytica'!$AY$51,0)),"")</f>
        <v>387.39622422821134</v>
      </c>
      <c r="W49" s="637">
        <f t="array" ref="W49">IFERROR(INDEX(Analytica!$F$59:$AY$132,MATCH($B49,Analytica!$B$59:$B$162,0),MATCH(W$15&amp;W$10,Analytica!$F$58:$AY$58&amp;Analytica!$F$51:'Analytica'!$AY$51,0)),"")</f>
        <v>47.788993082274764</v>
      </c>
      <c r="X49" s="637">
        <f t="array" ref="X49">IFERROR(INDEX(Analytica!$F$59:$AY$132,MATCH($B49,Analytica!$B$59:$B$162,0),MATCH(X$15&amp;X$10,Analytica!$F$58:$AY$58&amp;Analytica!$F$51:'Analytica'!$AY$51,0)),"")</f>
        <v>25.583407175974735</v>
      </c>
      <c r="Y49" s="637">
        <f t="array" ref="Y49">IFERROR(INDEX(Analytica!$F$59:$AY$132,MATCH($B49,Analytica!$B$59:$B$162,0),MATCH(Y$15&amp;Y$10,Analytica!$F$58:$AY$58&amp;Analytica!$F$51:'Analytica'!$AY$51,0)),"")</f>
        <v>23.141330569784405</v>
      </c>
      <c r="Z49" s="637">
        <f t="array" ref="Z49">IFERROR(INDEX(Analytica!$F$59:$AY$132,MATCH($B49,Analytica!$B$59:$B$162,0),MATCH(Z$15&amp;Z$10,Analytica!$F$58:$AY$58&amp;Analytica!$F$51:'Analytica'!$AY$51,0)),"")</f>
        <v>10.459698054161706</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09/21/2023 12:20:17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350.63787759734595</v>
      </c>
      <c r="R50" s="637">
        <f t="array" ref="R50">IFERROR(INDEX(Analytica!$F$59:$AY$132,MATCH($B50,Analytica!$B$59:$B$162,0),MATCH(R$15&amp;R$10,Analytica!$F$58:$AY$58&amp;Analytica!$F$51:'Analytica'!$AY$51,0)),"")</f>
        <v>357.09962238446946</v>
      </c>
      <c r="S50" s="637">
        <f t="array" ref="S50">IFERROR(INDEX(Analytica!$F$59:$AY$132,MATCH($B50,Analytica!$B$59:$B$162,0),MATCH(S$15&amp;S$10,Analytica!$F$58:$AY$58&amp;Analytica!$F$51:'Analytica'!$AY$51,0)),"")</f>
        <v>363.56136717159279</v>
      </c>
      <c r="T50" s="637">
        <f t="array" ref="T50">IFERROR(INDEX(Analytica!$F$59:$AY$132,MATCH($B50,Analytica!$B$59:$B$162,0),MATCH(T$15&amp;T$10,Analytica!$F$58:$AY$58&amp;Analytica!$F$51:'Analytica'!$AY$51,0)),"")</f>
        <v>371.50085823323019</v>
      </c>
      <c r="U50" s="637">
        <f t="array" ref="U50">IFERROR(INDEX(Analytica!$F$59:$AY$132,MATCH($B50,Analytica!$B$59:$B$162,0),MATCH(U$15&amp;U$10,Analytica!$F$58:$AY$58&amp;Analytica!$F$51:'Analytica'!$AY$51,0)),"")</f>
        <v>379.44034929486759</v>
      </c>
      <c r="V50" s="637">
        <f t="array" ref="V50">IFERROR(INDEX(Analytica!$F$59:$AY$132,MATCH($B50,Analytica!$B$59:$B$162,0),MATCH(V$15&amp;V$10,Analytica!$F$58:$AY$58&amp;Analytica!$F$51:'Analytica'!$AY$51,0)),"")</f>
        <v>387.39622422821134</v>
      </c>
      <c r="W50" s="637">
        <f t="array" ref="W50">IFERROR(INDEX(Analytica!$F$59:$AY$132,MATCH($B50,Analytica!$B$59:$B$162,0),MATCH(W$15&amp;W$10,Analytica!$F$58:$AY$58&amp;Analytica!$F$51:'Analytica'!$AY$51,0)),"")</f>
        <v>9.4672226951283402</v>
      </c>
      <c r="X50" s="637">
        <f t="array" ref="X50">IFERROR(INDEX(Analytica!$F$59:$AY$132,MATCH($B50,Analytica!$B$59:$B$162,0),MATCH(X$15&amp;X$10,Analytica!$F$58:$AY$58&amp;Analytica!$F$51:'Analytica'!$AY$51,0)),"")</f>
        <v>9.8161569136330051</v>
      </c>
      <c r="Y50" s="637">
        <f t="array" ref="Y50">IFERROR(INDEX(Analytica!$F$59:$AY$132,MATCH($B50,Analytica!$B$59:$B$162,0),MATCH(Y$15&amp;Y$10,Analytica!$F$58:$AY$58&amp;Analytica!$F$51:'Analytica'!$AY$51,0)),"")</f>
        <v>10.244889430961425</v>
      </c>
      <c r="Z50" s="637">
        <f t="array" ref="Z50">IFERROR(INDEX(Analytica!$F$59:$AY$132,MATCH($B50,Analytica!$B$59:$B$162,0),MATCH(Z$15&amp;Z$10,Analytica!$F$58:$AY$58&amp;Analytica!$F$51:'Analytica'!$AY$51,0)),"")</f>
        <v>10.459698054161706</v>
      </c>
      <c r="AA50" s="711">
        <f t="shared" si="68"/>
        <v>20</v>
      </c>
      <c r="AB50" s="711">
        <f t="shared" ref="AB50:AB81" si="69">AA50</f>
        <v>20</v>
      </c>
      <c r="AC50" s="711">
        <f t="shared" si="42"/>
        <v>2025</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09/21/2023 12:20:17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1094.5888281386417</v>
      </c>
      <c r="R51" s="637">
        <f t="array" ref="R51">IFERROR(INDEX(Analytica!$F$59:$AY$132,MATCH($B51,Analytica!$B$59:$B$162,0),MATCH(R$15&amp;R$10,Analytica!$F$58:$AY$58&amp;Analytica!$F$51:'Analytica'!$AY$51,0)),"")</f>
        <v>1007.0853648438302</v>
      </c>
      <c r="S51" s="637">
        <f t="array" ref="S51">IFERROR(INDEX(Analytica!$F$59:$AY$132,MATCH($B51,Analytica!$B$59:$B$162,0),MATCH(S$15&amp;S$10,Analytica!$F$58:$AY$58&amp;Analytica!$F$51:'Analytica'!$AY$51,0)),"")</f>
        <v>919.58190154901843</v>
      </c>
      <c r="T51" s="637">
        <f t="array" ref="T51">IFERROR(INDEX(Analytica!$F$59:$AY$132,MATCH($B51,Analytica!$B$59:$B$162,0),MATCH(T$15&amp;T$10,Analytica!$F$58:$AY$58&amp;Analytica!$F$51:'Analytica'!$AY$51,0)),"")</f>
        <v>371.50085823323019</v>
      </c>
      <c r="U51" s="637">
        <f t="array" ref="U51">IFERROR(INDEX(Analytica!$F$59:$AY$132,MATCH($B51,Analytica!$B$59:$B$162,0),MATCH(U$15&amp;U$10,Analytica!$F$58:$AY$58&amp;Analytica!$F$51:'Analytica'!$AY$51,0)),"")</f>
        <v>379.44034929486759</v>
      </c>
      <c r="V51" s="637">
        <f t="array" ref="V51">IFERROR(INDEX(Analytica!$F$59:$AY$132,MATCH($B51,Analytica!$B$59:$B$162,0),MATCH(V$15&amp;V$10,Analytica!$F$58:$AY$58&amp;Analytica!$F$51:'Analytica'!$AY$51,0)),"")</f>
        <v>387.39622422821134</v>
      </c>
      <c r="W51" s="637">
        <f t="array" ref="W51">IFERROR(INDEX(Analytica!$F$59:$AY$132,MATCH($B51,Analytica!$B$59:$B$162,0),MATCH(W$15&amp;W$10,Analytica!$F$58:$AY$58&amp;Analytica!$F$51:'Analytica'!$AY$51,0)),"")</f>
        <v>22.165423769807497</v>
      </c>
      <c r="X51" s="637">
        <f t="array" ref="X51">IFERROR(INDEX(Analytica!$F$59:$AY$132,MATCH($B51,Analytica!$B$59:$B$162,0),MATCH(X$15&amp;X$10,Analytica!$F$58:$AY$58&amp;Analytica!$F$51:'Analytica'!$AY$51,0)),"")</f>
        <v>18.621533506367623</v>
      </c>
      <c r="Y51" s="637">
        <f t="array" ref="Y51">IFERROR(INDEX(Analytica!$F$59:$AY$132,MATCH($B51,Analytica!$B$59:$B$162,0),MATCH(Y$15&amp;Y$10,Analytica!$F$58:$AY$58&amp;Analytica!$F$51:'Analytica'!$AY$51,0)),"")</f>
        <v>7.683667073221069</v>
      </c>
      <c r="Z51" s="637">
        <f t="array" ref="Z51">IFERROR(INDEX(Analytica!$F$59:$AY$132,MATCH($B51,Analytica!$B$59:$B$162,0),MATCH(Z$15&amp;Z$10,Analytica!$F$58:$AY$58&amp;Analytica!$F$51:'Analytica'!$AY$51,0)),"")</f>
        <v>7.8447735406212802</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09/21/2023 12:20:17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09/21/2023 12:20:17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09/21/2023 12:20:17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2779.1028644940416</v>
      </c>
      <c r="T54" s="637">
        <f t="array" ref="T54">IFERROR(INDEX(Analytica!$F$59:$AY$132,MATCH($B54,Analytica!$B$59:$B$162,0),MATCH(T$15&amp;T$10,Analytica!$F$58:$AY$58&amp;Analytica!$F$51:'Analytica'!$AY$51,0)),"")</f>
        <v>2802.2752782397774</v>
      </c>
      <c r="U54" s="637">
        <f t="array" ref="U54">IFERROR(INDEX(Analytica!$F$59:$AY$132,MATCH($B54,Analytica!$B$59:$B$162,0),MATCH(U$15&amp;U$10,Analytica!$F$58:$AY$58&amp;Analytica!$F$51:'Analytica'!$AY$51,0)),"")</f>
        <v>2825.4476919855119</v>
      </c>
      <c r="V54" s="637">
        <f t="array" ref="V54">IFERROR(INDEX(Analytica!$F$59:$AY$132,MATCH($B54,Analytica!$B$59:$B$162,0),MATCH(V$15&amp;V$10,Analytica!$F$58:$AY$58&amp;Analytica!$F$51:'Analytica'!$AY$51,0)),"")</f>
        <v>2885.0615408688536</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75.035777341339127</v>
      </c>
      <c r="Y54" s="637">
        <f t="array" ref="Y54">IFERROR(INDEX(Analytica!$F$59:$AY$132,MATCH($B54,Analytica!$B$59:$B$162,0),MATCH(Y$15&amp;Y$10,Analytica!$F$58:$AY$58&amp;Analytica!$F$51:'Analytica'!$AY$51,0)),"")</f>
        <v>76.287087683608817</v>
      </c>
      <c r="Z54" s="637">
        <f t="array" ref="Z54">IFERROR(INDEX(Analytica!$F$59:$AY$132,MATCH($B54,Analytica!$B$59:$B$162,0),MATCH(Z$15&amp;Z$10,Analytica!$F$58:$AY$58&amp;Analytica!$F$51:'Analytica'!$AY$51,0)),"")</f>
        <v>77.896661603459052</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09/21/2023 12:20:17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3259.8087910028635</v>
      </c>
      <c r="T55" s="637">
        <f t="array" ref="T55">IFERROR(INDEX(Analytica!$F$59:$AY$132,MATCH($B55,Analytica!$B$59:$B$162,0),MATCH(T$15&amp;T$10,Analytica!$F$58:$AY$58&amp;Analytica!$F$51:'Analytica'!$AY$51,0)),"")</f>
        <v>3281.9757365715932</v>
      </c>
      <c r="U55" s="637">
        <f t="array" ref="U55">IFERROR(INDEX(Analytica!$F$59:$AY$132,MATCH($B55,Analytica!$B$59:$B$162,0),MATCH(U$15&amp;U$10,Analytica!$F$58:$AY$58&amp;Analytica!$F$51:'Analytica'!$AY$51,0)),"")</f>
        <v>3304.1426821403229</v>
      </c>
      <c r="V55" s="637">
        <f t="array" ref="V55">IFERROR(INDEX(Analytica!$F$59:$AY$132,MATCH($B55,Analytica!$B$59:$B$162,0),MATCH(V$15&amp;V$10,Analytica!$F$58:$AY$58&amp;Analytica!$F$51:'Analytica'!$AY$51,0)),"")</f>
        <v>3346.2174946838099</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66.011128017807991</v>
      </c>
      <c r="Y55" s="637">
        <f t="array" ref="Y55">IFERROR(INDEX(Analytica!$F$59:$AY$132,MATCH($B55,Analytica!$B$59:$B$162,0),MATCH(Y$15&amp;Y$10,Analytica!$F$58:$AY$58&amp;Analytica!$F$51:'Analytica'!$AY$51,0)),"")</f>
        <v>66.908889313341547</v>
      </c>
      <c r="Z55" s="637">
        <f t="array" ref="Z55">IFERROR(INDEX(Analytica!$F$59:$AY$132,MATCH($B55,Analytica!$B$59:$B$162,0),MATCH(Z$15&amp;Z$10,Analytica!$F$58:$AY$58&amp;Analytica!$F$51:'Analytica'!$AY$51,0)),"")</f>
        <v>67.760904267347158</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09/21/2023 12:20:17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2887.9722792272814</v>
      </c>
      <c r="T56" s="637">
        <f t="array" ref="T56">IFERROR(INDEX(Analytica!$F$59:$AY$132,MATCH($B56,Analytica!$B$59:$B$162,0),MATCH(T$15&amp;T$10,Analytica!$F$58:$AY$58&amp;Analytica!$F$51:'Analytica'!$AY$51,0)),"")</f>
        <v>2842.5151832835504</v>
      </c>
      <c r="U56" s="637">
        <f t="array" ref="U56">IFERROR(INDEX(Analytica!$F$59:$AY$132,MATCH($B56,Analytica!$B$59:$B$162,0),MATCH(U$15&amp;U$10,Analytica!$F$58:$AY$58&amp;Analytica!$F$51:'Analytica'!$AY$51,0)),"")</f>
        <v>2797.058087339818</v>
      </c>
      <c r="V56" s="637">
        <f t="array" ref="V56">IFERROR(INDEX(Analytica!$F$59:$AY$132,MATCH($B56,Analytica!$B$59:$B$162,0),MATCH(V$15&amp;V$10,Analytica!$F$58:$AY$58&amp;Analytica!$F$51:'Analytica'!$AY$51,0)),"")</f>
        <v>2786.0487090782703</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77.975251539136593</v>
      </c>
      <c r="Y56" s="637">
        <f t="array" ref="Y56">IFERROR(INDEX(Analytica!$F$59:$AY$132,MATCH($B56,Analytica!$B$59:$B$162,0),MATCH(Y$15&amp;Y$10,Analytica!$F$58:$AY$58&amp;Analytica!$F$51:'Analytica'!$AY$51,0)),"")</f>
        <v>75.520568358175083</v>
      </c>
      <c r="Z56" s="637">
        <f t="array" ref="Z56">IFERROR(INDEX(Analytica!$F$59:$AY$132,MATCH($B56,Analytica!$B$59:$B$162,0),MATCH(Z$15&amp;Z$10,Analytica!$F$58:$AY$58&amp;Analytica!$F$51:'Analytica'!$AY$51,0)),"")</f>
        <v>75.223315145113304</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09/21/2023 12:20:17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711">
        <f>IF(AE57,base.year+$AC$12,base.year+$AC$10)</f>
        <v>2025</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09/21/2023 12:20:17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09/21/2023 12:20:17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496.02431464990411</v>
      </c>
      <c r="R65" s="637">
        <f t="array" ref="R65">IFERROR(INDEX(Analytica!$F$59:$AY$132,MATCH($B65,Analytica!$B$59:$B$162,0),MATCH(R$15&amp;R$10,Analytica!$F$58:$AY$58&amp;Analytica!$F$51:'Analytica'!$AY$51,0)),"")</f>
        <v>504.86263896951328</v>
      </c>
      <c r="S65" s="637">
        <f t="array" ref="S65">IFERROR(INDEX(Analytica!$F$59:$AY$132,MATCH($B65,Analytica!$B$59:$B$162,0),MATCH(S$15&amp;S$10,Analytica!$F$58:$AY$58&amp;Analytica!$F$51:'Analytica'!$AY$51,0)),"")</f>
        <v>363.56136717159279</v>
      </c>
      <c r="T65" s="637">
        <f t="array" ref="T65">IFERROR(INDEX(Analytica!$F$59:$AY$132,MATCH($B65,Analytica!$B$59:$B$162,0),MATCH(T$15&amp;T$10,Analytica!$F$58:$AY$58&amp;Analytica!$F$51:'Analytica'!$AY$51,0)),"")</f>
        <v>371.50085823323019</v>
      </c>
      <c r="U65" s="637">
        <f t="array" ref="U65">IFERROR(INDEX(Analytica!$F$59:$AY$132,MATCH($B65,Analytica!$B$59:$B$162,0),MATCH(U$15&amp;U$10,Analytica!$F$58:$AY$58&amp;Analytica!$F$51:'Analytica'!$AY$51,0)),"")</f>
        <v>379.44034929486759</v>
      </c>
      <c r="V65" s="637">
        <f t="array" ref="V65">IFERROR(INDEX(Analytica!$F$59:$AY$132,MATCH($B65,Analytica!$B$59:$B$162,0),MATCH(V$15&amp;V$10,Analytica!$F$58:$AY$58&amp;Analytica!$F$51:'Analytica'!$AY$51,0)),"")</f>
        <v>387.39622422821134</v>
      </c>
      <c r="W65" s="637">
        <f t="array" ref="W65">IFERROR(INDEX(Analytica!$F$59:$AY$132,MATCH($B65,Analytica!$B$59:$B$162,0),MATCH(W$15&amp;W$10,Analytica!$F$58:$AY$58&amp;Analytica!$F$51:'Analytica'!$AY$51,0)),"")</f>
        <v>13.392656495547412</v>
      </c>
      <c r="X65" s="637">
        <f t="array" ref="X65">IFERROR(INDEX(Analytica!$F$59:$AY$132,MATCH($B65,Analytica!$B$59:$B$162,0),MATCH(X$15&amp;X$10,Analytica!$F$58:$AY$58&amp;Analytica!$F$51:'Analytica'!$AY$51,0)),"")</f>
        <v>9.8161569136330051</v>
      </c>
      <c r="Y65" s="637">
        <f t="array" ref="Y65">IFERROR(INDEX(Analytica!$F$59:$AY$132,MATCH($B65,Analytica!$B$59:$B$162,0),MATCH(Y$15&amp;Y$10,Analytica!$F$58:$AY$58&amp;Analytica!$F$51:'Analytica'!$AY$51,0)),"")</f>
        <v>10.244889430961425</v>
      </c>
      <c r="Z65" s="637">
        <f t="array" ref="Z65">IFERROR(INDEX(Analytica!$F$59:$AY$132,MATCH($B65,Analytica!$B$59:$B$162,0),MATCH(Z$15&amp;Z$10,Analytica!$F$58:$AY$58&amp;Analytica!$F$51:'Analytica'!$AY$51,0)),"")</f>
        <v>10.459698054161706</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09/21/2023 12:20:17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667.06718177056041</v>
      </c>
      <c r="R66" s="637">
        <f t="array" ref="R66">IFERROR(INDEX(Analytica!$F$59:$AY$132,MATCH($B66,Analytica!$B$59:$B$162,0),MATCH(R$15&amp;R$10,Analytica!$F$58:$AY$58&amp;Analytica!$F$51:'Analytica'!$AY$51,0)),"")</f>
        <v>662.58461022237543</v>
      </c>
      <c r="S66" s="637">
        <f t="array" ref="S66">IFERROR(INDEX(Analytica!$F$59:$AY$132,MATCH($B66,Analytica!$B$59:$B$162,0),MATCH(S$15&amp;S$10,Analytica!$F$58:$AY$58&amp;Analytica!$F$51:'Analytica'!$AY$51,0)),"")</f>
        <v>658.10203867419057</v>
      </c>
      <c r="T66" s="637">
        <f t="array" ref="T66">IFERROR(INDEX(Analytica!$F$59:$AY$132,MATCH($B66,Analytica!$B$59:$B$162,0),MATCH(T$15&amp;T$10,Analytica!$F$58:$AY$58&amp;Analytica!$F$51:'Analytica'!$AY$51,0)),"")</f>
        <v>371.50085823323019</v>
      </c>
      <c r="U66" s="637">
        <f t="array" ref="U66">IFERROR(INDEX(Analytica!$F$59:$AY$132,MATCH($B66,Analytica!$B$59:$B$162,0),MATCH(U$15&amp;U$10,Analytica!$F$58:$AY$58&amp;Analytica!$F$51:'Analytica'!$AY$51,0)),"")</f>
        <v>379.44034929486759</v>
      </c>
      <c r="V66" s="637">
        <f t="array" ref="V66">IFERROR(INDEX(Analytica!$F$59:$AY$132,MATCH($B66,Analytica!$B$59:$B$162,0),MATCH(V$15&amp;V$10,Analytica!$F$58:$AY$58&amp;Analytica!$F$51:'Analytica'!$AY$51,0)),"")</f>
        <v>387.39622422821134</v>
      </c>
      <c r="W66" s="637">
        <f t="array" ref="W66">IFERROR(INDEX(Analytica!$F$59:$AY$132,MATCH($B66,Analytica!$B$59:$B$162,0),MATCH(W$15&amp;W$10,Analytica!$F$58:$AY$58&amp;Analytica!$F$51:'Analytica'!$AY$51,0)),"")</f>
        <v>18.010813907805129</v>
      </c>
      <c r="X66" s="637">
        <f t="array" ref="X66">IFERROR(INDEX(Analytica!$F$59:$AY$132,MATCH($B66,Analytica!$B$59:$B$162,0),MATCH(X$15&amp;X$10,Analytica!$F$58:$AY$58&amp;Analytica!$F$51:'Analytica'!$AY$51,0)),"")</f>
        <v>17.768755044203147</v>
      </c>
      <c r="Y66" s="637">
        <f t="array" ref="Y66">IFERROR(INDEX(Analytica!$F$59:$AY$132,MATCH($B66,Analytica!$B$59:$B$162,0),MATCH(Y$15&amp;Y$10,Analytica!$F$58:$AY$58&amp;Analytica!$F$51:'Analytica'!$AY$51,0)),"")</f>
        <v>10.244889430961425</v>
      </c>
      <c r="Z66" s="637">
        <f t="array" ref="Z66">IFERROR(INDEX(Analytica!$F$59:$AY$132,MATCH($B66,Analytica!$B$59:$B$162,0),MATCH(Z$15&amp;Z$10,Analytica!$F$58:$AY$58&amp;Analytica!$F$51:'Analytica'!$AY$51,0)),"")</f>
        <v>10.459698054161706</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09/21/2023 12:20:17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350.63787759734595</v>
      </c>
      <c r="R67" s="637">
        <f t="array" ref="R67">IFERROR(INDEX(Analytica!$F$59:$AY$132,MATCH($B67,Analytica!$B$59:$B$162,0),MATCH(R$15&amp;R$10,Analytica!$F$58:$AY$58&amp;Analytica!$F$51:'Analytica'!$AY$51,0)),"")</f>
        <v>357.09962238446946</v>
      </c>
      <c r="S67" s="637">
        <f t="array" ref="S67">IFERROR(INDEX(Analytica!$F$59:$AY$132,MATCH($B67,Analytica!$B$59:$B$162,0),MATCH(S$15&amp;S$10,Analytica!$F$58:$AY$58&amp;Analytica!$F$51:'Analytica'!$AY$51,0)),"")</f>
        <v>363.56136717159279</v>
      </c>
      <c r="T67" s="637">
        <f t="array" ref="T67">IFERROR(INDEX(Analytica!$F$59:$AY$132,MATCH($B67,Analytica!$B$59:$B$162,0),MATCH(T$15&amp;T$10,Analytica!$F$58:$AY$58&amp;Analytica!$F$51:'Analytica'!$AY$51,0)),"")</f>
        <v>371.50085823323019</v>
      </c>
      <c r="U67" s="637">
        <f t="array" ref="U67">IFERROR(INDEX(Analytica!$F$59:$AY$132,MATCH($B67,Analytica!$B$59:$B$162,0),MATCH(U$15&amp;U$10,Analytica!$F$58:$AY$58&amp;Analytica!$F$51:'Analytica'!$AY$51,0)),"")</f>
        <v>379.44034929486759</v>
      </c>
      <c r="V67" s="637">
        <f t="array" ref="V67">IFERROR(INDEX(Analytica!$F$59:$AY$132,MATCH($B67,Analytica!$B$59:$B$162,0),MATCH(V$15&amp;V$10,Analytica!$F$58:$AY$58&amp;Analytica!$F$51:'Analytica'!$AY$51,0)),"")</f>
        <v>387.39622422821134</v>
      </c>
      <c r="W67" s="637">
        <f t="array" ref="W67">IFERROR(INDEX(Analytica!$F$59:$AY$132,MATCH($B67,Analytica!$B$59:$B$162,0),MATCH(W$15&amp;W$10,Analytica!$F$58:$AY$58&amp;Analytica!$F$51:'Analytica'!$AY$51,0)),"")</f>
        <v>9.4672226951283402</v>
      </c>
      <c r="X67" s="637">
        <f t="array" ref="X67">IFERROR(INDEX(Analytica!$F$59:$AY$132,MATCH($B67,Analytica!$B$59:$B$162,0),MATCH(X$15&amp;X$10,Analytica!$F$58:$AY$58&amp;Analytica!$F$51:'Analytica'!$AY$51,0)),"")</f>
        <v>9.8161569136330051</v>
      </c>
      <c r="Y67" s="637">
        <f t="array" ref="Y67">IFERROR(INDEX(Analytica!$F$59:$AY$132,MATCH($B67,Analytica!$B$59:$B$162,0),MATCH(Y$15&amp;Y$10,Analytica!$F$58:$AY$58&amp;Analytica!$F$51:'Analytica'!$AY$51,0)),"")</f>
        <v>10.244889430961425</v>
      </c>
      <c r="Z67" s="637">
        <f t="array" ref="Z67">IFERROR(INDEX(Analytica!$F$59:$AY$132,MATCH($B67,Analytica!$B$59:$B$162,0),MATCH(Z$15&amp;Z$10,Analytica!$F$58:$AY$58&amp;Analytica!$F$51:'Analytica'!$AY$51,0)),"")</f>
        <v>10.459698054161706</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09/21/2023 12:20:17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444.71145451370705</v>
      </c>
      <c r="R68" s="637">
        <f t="array" ref="R68">IFERROR(INDEX(Analytica!$F$59:$AY$132,MATCH($B68,Analytica!$B$59:$B$162,0),MATCH(R$15&amp;R$10,Analytica!$F$58:$AY$58&amp;Analytica!$F$51:'Analytica'!$AY$51,0)),"")</f>
        <v>441.88643413290185</v>
      </c>
      <c r="S68" s="637">
        <f t="array" ref="S68">IFERROR(INDEX(Analytica!$F$59:$AY$132,MATCH($B68,Analytica!$B$59:$B$162,0),MATCH(S$15&amp;S$10,Analytica!$F$58:$AY$58&amp;Analytica!$F$51:'Analytica'!$AY$51,0)),"")</f>
        <v>439.06141375209666</v>
      </c>
      <c r="T68" s="637">
        <f t="array" ref="T68">IFERROR(INDEX(Analytica!$F$59:$AY$132,MATCH($B68,Analytica!$B$59:$B$162,0),MATCH(T$15&amp;T$10,Analytica!$F$58:$AY$58&amp;Analytica!$F$51:'Analytica'!$AY$51,0)),"")</f>
        <v>371.50085823323019</v>
      </c>
      <c r="U68" s="637">
        <f t="array" ref="U68">IFERROR(INDEX(Analytica!$F$59:$AY$132,MATCH($B68,Analytica!$B$59:$B$162,0),MATCH(U$15&amp;U$10,Analytica!$F$58:$AY$58&amp;Analytica!$F$51:'Analytica'!$AY$51,0)),"")</f>
        <v>379.44034929486759</v>
      </c>
      <c r="V68" s="637">
        <f t="array" ref="V68">IFERROR(INDEX(Analytica!$F$59:$AY$132,MATCH($B68,Analytica!$B$59:$B$162,0),MATCH(V$15&amp;V$10,Analytica!$F$58:$AY$58&amp;Analytica!$F$51:'Analytica'!$AY$51,0)),"")</f>
        <v>387.39622422821134</v>
      </c>
      <c r="W68" s="637">
        <f t="array" ref="W68">IFERROR(INDEX(Analytica!$F$59:$AY$132,MATCH($B68,Analytica!$B$59:$B$162,0),MATCH(W$15&amp;W$10,Analytica!$F$58:$AY$58&amp;Analytica!$F$51:'Analytica'!$AY$51,0)),"")</f>
        <v>12.00720927187009</v>
      </c>
      <c r="X68" s="637">
        <f t="array" ref="X68">IFERROR(INDEX(Analytica!$F$59:$AY$132,MATCH($B68,Analytica!$B$59:$B$162,0),MATCH(X$15&amp;X$10,Analytica!$F$58:$AY$58&amp;Analytica!$F$51:'Analytica'!$AY$51,0)),"")</f>
        <v>11.85465817130661</v>
      </c>
      <c r="Y68" s="637">
        <f t="array" ref="Y68">IFERROR(INDEX(Analytica!$F$59:$AY$132,MATCH($B68,Analytica!$B$59:$B$162,0),MATCH(Y$15&amp;Y$10,Analytica!$F$58:$AY$58&amp;Analytica!$F$51:'Analytica'!$AY$51,0)),"")</f>
        <v>10.244889430961425</v>
      </c>
      <c r="Z68" s="637">
        <f t="array" ref="Z68">IFERROR(INDEX(Analytica!$F$59:$AY$132,MATCH($B68,Analytica!$B$59:$B$162,0),MATCH(Z$15&amp;Z$10,Analytica!$F$58:$AY$58&amp;Analytica!$F$51:'Analytica'!$AY$51,0)),"")</f>
        <v>10.459698054161706</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09/21/2023 12:20:17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545.62674611489456</v>
      </c>
      <c r="R69" s="637">
        <f t="array" ref="R69">IFERROR(INDEX(Analytica!$F$59:$AY$132,MATCH($B69,Analytica!$B$59:$B$162,0),MATCH(R$15&amp;R$10,Analytica!$F$58:$AY$58&amp;Analytica!$F$51:'Analytica'!$AY$51,0)),"")</f>
        <v>551.3701241175919</v>
      </c>
      <c r="S69" s="637">
        <f t="array" ref="S69">IFERROR(INDEX(Analytica!$F$59:$AY$132,MATCH($B69,Analytica!$B$59:$B$162,0),MATCH(S$15&amp;S$10,Analytica!$F$58:$AY$58&amp;Analytica!$F$51:'Analytica'!$AY$51,0)),"")</f>
        <v>557.11350212028935</v>
      </c>
      <c r="T69" s="637">
        <f t="array" ref="T69">IFERROR(INDEX(Analytica!$F$59:$AY$132,MATCH($B69,Analytica!$B$59:$B$162,0),MATCH(T$15&amp;T$10,Analytica!$F$58:$AY$58&amp;Analytica!$F$51:'Analytica'!$AY$51,0)),"")</f>
        <v>565.34503849646865</v>
      </c>
      <c r="U69" s="637">
        <f t="array" ref="U69">IFERROR(INDEX(Analytica!$F$59:$AY$132,MATCH($B69,Analytica!$B$59:$B$162,0),MATCH(U$15&amp;U$10,Analytica!$F$58:$AY$58&amp;Analytica!$F$51:'Analytica'!$AY$51,0)),"")</f>
        <v>573.57657487264794</v>
      </c>
      <c r="V69" s="637">
        <f t="array" ref="V69">IFERROR(INDEX(Analytica!$F$59:$AY$132,MATCH($B69,Analytica!$B$59:$B$162,0),MATCH(V$15&amp;V$10,Analytica!$F$58:$AY$58&amp;Analytica!$F$51:'Analytica'!$AY$51,0)),"")</f>
        <v>580.79572210982678</v>
      </c>
      <c r="W69" s="637">
        <f t="array" ref="W69">IFERROR(INDEX(Analytica!$F$59:$AY$132,MATCH($B69,Analytica!$B$59:$B$162,0),MATCH(W$15&amp;W$10,Analytica!$F$58:$AY$58&amp;Analytica!$F$51:'Analytica'!$AY$51,0)),"")</f>
        <v>14.731922145102153</v>
      </c>
      <c r="X69" s="637">
        <f t="array" ref="X69">IFERROR(INDEX(Analytica!$F$59:$AY$132,MATCH($B69,Analytica!$B$59:$B$162,0),MATCH(X$15&amp;X$10,Analytica!$F$58:$AY$58&amp;Analytica!$F$51:'Analytica'!$AY$51,0)),"")</f>
        <v>15.042064557247812</v>
      </c>
      <c r="Y69" s="637">
        <f t="array" ref="Y69">IFERROR(INDEX(Analytica!$F$59:$AY$132,MATCH($B69,Analytica!$B$59:$B$162,0),MATCH(Y$15&amp;Y$10,Analytica!$F$58:$AY$58&amp;Analytica!$F$51:'Analytica'!$AY$51,0)),"")</f>
        <v>15.486567521561494</v>
      </c>
      <c r="Z69" s="637">
        <f t="array" ref="Z69">IFERROR(INDEX(Analytica!$F$59:$AY$132,MATCH($B69,Analytica!$B$59:$B$162,0),MATCH(Z$15&amp;Z$10,Analytica!$F$58:$AY$58&amp;Analytica!$F$51:'Analytica'!$AY$51,0)),"")</f>
        <v>15.681484496965323</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09/21/2023 12:20:17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1094.5888281386417</v>
      </c>
      <c r="R70" s="637">
        <f t="array" ref="R70">IFERROR(INDEX(Analytica!$F$59:$AY$132,MATCH($B70,Analytica!$B$59:$B$162,0),MATCH(R$15&amp;R$10,Analytica!$F$58:$AY$58&amp;Analytica!$F$51:'Analytica'!$AY$51,0)),"")</f>
        <v>1007.0853648438302</v>
      </c>
      <c r="S70" s="637">
        <f t="array" ref="S70">IFERROR(INDEX(Analytica!$F$59:$AY$132,MATCH($B70,Analytica!$B$59:$B$162,0),MATCH(S$15&amp;S$10,Analytica!$F$58:$AY$58&amp;Analytica!$F$51:'Analytica'!$AY$51,0)),"")</f>
        <v>919.58190154901843</v>
      </c>
      <c r="T70" s="637">
        <f t="array" ref="T70">IFERROR(INDEX(Analytica!$F$59:$AY$132,MATCH($B70,Analytica!$B$59:$B$162,0),MATCH(T$15&amp;T$10,Analytica!$F$58:$AY$58&amp;Analytica!$F$51:'Analytica'!$AY$51,0)),"")</f>
        <v>928.70146574433534</v>
      </c>
      <c r="U70" s="637">
        <f t="array" ref="U70">IFERROR(INDEX(Analytica!$F$59:$AY$132,MATCH($B70,Analytica!$B$59:$B$162,0),MATCH(U$15&amp;U$10,Analytica!$F$58:$AY$58&amp;Analytica!$F$51:'Analytica'!$AY$51,0)),"")</f>
        <v>379.44034929486759</v>
      </c>
      <c r="V70" s="637">
        <f t="array" ref="V70">IFERROR(INDEX(Analytica!$F$59:$AY$132,MATCH($B70,Analytica!$B$59:$B$162,0),MATCH(V$15&amp;V$10,Analytica!$F$58:$AY$58&amp;Analytica!$F$51:'Analytica'!$AY$51,0)),"")</f>
        <v>387.39622422821134</v>
      </c>
      <c r="W70" s="637">
        <f t="array" ref="W70">IFERROR(INDEX(Analytica!$F$59:$AY$132,MATCH($B70,Analytica!$B$59:$B$162,0),MATCH(W$15&amp;W$10,Analytica!$F$58:$AY$58&amp;Analytica!$F$51:'Analytica'!$AY$51,0)),"")</f>
        <v>22.165423769807497</v>
      </c>
      <c r="X70" s="637">
        <f t="array" ref="X70">IFERROR(INDEX(Analytica!$F$59:$AY$132,MATCH($B70,Analytica!$B$59:$B$162,0),MATCH(X$15&amp;X$10,Analytica!$F$58:$AY$58&amp;Analytica!$F$51:'Analytica'!$AY$51,0)),"")</f>
        <v>18.621533506367623</v>
      </c>
      <c r="Y70" s="637">
        <f t="array" ref="Y70">IFERROR(INDEX(Analytica!$F$59:$AY$132,MATCH($B70,Analytica!$B$59:$B$162,0),MATCH(Y$15&amp;Y$10,Analytica!$F$58:$AY$58&amp;Analytica!$F$51:'Analytica'!$AY$51,0)),"")</f>
        <v>7.683667073221069</v>
      </c>
      <c r="Z70" s="637">
        <f t="array" ref="Z70">IFERROR(INDEX(Analytica!$F$59:$AY$132,MATCH($B70,Analytica!$B$59:$B$162,0),MATCH(Z$15&amp;Z$10,Analytica!$F$58:$AY$58&amp;Analytica!$F$51:'Analytica'!$AY$51,0)),"")</f>
        <v>7.8447735406212802</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09/21/2023 12:20:17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09/21/2023 12:20:17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476.74778352540619</v>
      </c>
      <c r="R72" s="637">
        <f t="array" ref="R72">IFERROR(INDEX(Analytica!$F$59:$AY$132,MATCH($B72,Analytica!$B$59:$B$162,0),MATCH(R$15&amp;R$10,Analytica!$F$58:$AY$58&amp;Analytica!$F$51:'Analytica'!$AY$51,0)),"")</f>
        <v>491.83197524024433</v>
      </c>
      <c r="S72" s="637">
        <f t="array" ref="S72">IFERROR(INDEX(Analytica!$F$59:$AY$132,MATCH($B72,Analytica!$B$59:$B$162,0),MATCH(S$15&amp;S$10,Analytica!$F$58:$AY$58&amp;Analytica!$F$51:'Analytica'!$AY$51,0)),"")</f>
        <v>506.91616695508259</v>
      </c>
      <c r="T72" s="637">
        <f t="array" ref="T72">IFERROR(INDEX(Analytica!$F$59:$AY$132,MATCH($B72,Analytica!$B$59:$B$162,0),MATCH(T$15&amp;T$10,Analytica!$F$58:$AY$58&amp;Analytica!$F$51:'Analytica'!$AY$51,0)),"")</f>
        <v>520.42431194208189</v>
      </c>
      <c r="U72" s="637">
        <f t="array" ref="U72">IFERROR(INDEX(Analytica!$F$59:$AY$132,MATCH($B72,Analytica!$B$59:$B$162,0),MATCH(U$15&amp;U$10,Analytica!$F$58:$AY$58&amp;Analytica!$F$51:'Analytica'!$AY$51,0)),"")</f>
        <v>533.93245692908113</v>
      </c>
      <c r="V72" s="637">
        <f t="array" ref="V72">IFERROR(INDEX(Analytica!$F$59:$AY$132,MATCH($B72,Analytica!$B$59:$B$162,0),MATCH(V$15&amp;V$10,Analytica!$F$58:$AY$58&amp;Analytica!$F$51:'Analytica'!$AY$51,0)),"")</f>
        <v>551.67118115070787</v>
      </c>
      <c r="W72" s="637">
        <f t="array" ref="W72">IFERROR(INDEX(Analytica!$F$59:$AY$132,MATCH($B72,Analytica!$B$59:$B$162,0),MATCH(W$15&amp;W$10,Analytica!$F$58:$AY$58&amp;Analytica!$F$51:'Analytica'!$AY$51,0)),"")</f>
        <v>12.872190155185967</v>
      </c>
      <c r="X72" s="637">
        <f t="array" ref="X72">IFERROR(INDEX(Analytica!$F$59:$AY$132,MATCH($B72,Analytica!$B$59:$B$162,0),MATCH(X$15&amp;X$10,Analytica!$F$58:$AY$58&amp;Analytica!$F$51:'Analytica'!$AY$51,0)),"")</f>
        <v>13.686736507787229</v>
      </c>
      <c r="Y72" s="637">
        <f t="array" ref="Y72">IFERROR(INDEX(Analytica!$F$59:$AY$132,MATCH($B72,Analytica!$B$59:$B$162,0),MATCH(Y$15&amp;Y$10,Analytica!$F$58:$AY$58&amp;Analytica!$F$51:'Analytica'!$AY$51,0)),"")</f>
        <v>14.41617633708519</v>
      </c>
      <c r="Z72" s="637">
        <f t="array" ref="Z72">IFERROR(INDEX(Analytica!$F$59:$AY$132,MATCH($B72,Analytica!$B$59:$B$162,0),MATCH(Z$15&amp;Z$10,Analytica!$F$58:$AY$58&amp;Analytica!$F$51:'Analytica'!$AY$51,0)),"")</f>
        <v>14.895121891069111</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09/21/2023 12:20:17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375.62326945122987</v>
      </c>
      <c r="R73" s="637">
        <f t="array" ref="R73">IFERROR(INDEX(Analytica!$F$59:$AY$132,MATCH($B73,Analytica!$B$59:$B$162,0),MATCH(R$15&amp;R$10,Analytica!$F$58:$AY$58&amp;Analytica!$F$51:'Analytica'!$AY$51,0)),"")</f>
        <v>387.50790448205998</v>
      </c>
      <c r="S73" s="637">
        <f t="array" ref="S73">IFERROR(INDEX(Analytica!$F$59:$AY$132,MATCH($B73,Analytica!$B$59:$B$162,0),MATCH(S$15&amp;S$10,Analytica!$F$58:$AY$58&amp;Analytica!$F$51:'Analytica'!$AY$51,0)),"")</f>
        <v>399.39253951289021</v>
      </c>
      <c r="T73" s="637">
        <f t="array" ref="T73">IFERROR(INDEX(Analytica!$F$59:$AY$132,MATCH($B73,Analytica!$B$59:$B$162,0),MATCH(T$15&amp;T$10,Analytica!$F$58:$AY$58&amp;Analytica!$F$51:'Analytica'!$AY$51,0)),"")</f>
        <v>410.03542818395528</v>
      </c>
      <c r="U73" s="637">
        <f t="array" ref="U73">IFERROR(INDEX(Analytica!$F$59:$AY$132,MATCH($B73,Analytica!$B$59:$B$162,0),MATCH(U$15&amp;U$10,Analytica!$F$58:$AY$58&amp;Analytica!$F$51:'Analytica'!$AY$51,0)),"")</f>
        <v>420.67831685502017</v>
      </c>
      <c r="V73" s="637">
        <f t="array" ref="V73">IFERROR(INDEX(Analytica!$F$59:$AY$132,MATCH($B73,Analytica!$B$59:$B$162,0),MATCH(V$15&amp;V$10,Analytica!$F$58:$AY$58&amp;Analytica!$F$51:'Analytica'!$AY$51,0)),"")</f>
        <v>434.65442291837672</v>
      </c>
      <c r="W73" s="637">
        <f t="array" ref="W73">IFERROR(INDEX(Analytica!$F$59:$AY$132,MATCH($B73,Analytica!$B$59:$B$162,0),MATCH(W$15&amp;W$10,Analytica!$F$58:$AY$58&amp;Analytica!$F$51:'Analytica'!$AY$51,0)),"")</f>
        <v>10.141828275183206</v>
      </c>
      <c r="X73" s="637">
        <f t="array" ref="X73">IFERROR(INDEX(Analytica!$F$59:$AY$132,MATCH($B73,Analytica!$B$59:$B$162,0),MATCH(X$15&amp;X$10,Analytica!$F$58:$AY$58&amp;Analytica!$F$51:'Analytica'!$AY$51,0)),"")</f>
        <v>10.783598566848035</v>
      </c>
      <c r="Y73" s="637">
        <f t="array" ref="Y73">IFERROR(INDEX(Analytica!$F$59:$AY$132,MATCH($B73,Analytica!$B$59:$B$162,0),MATCH(Y$15&amp;Y$10,Analytica!$F$58:$AY$58&amp;Analytica!$F$51:'Analytica'!$AY$51,0)),"")</f>
        <v>11.358314555085544</v>
      </c>
      <c r="Z73" s="637">
        <f t="array" ref="Z73">IFERROR(INDEX(Analytica!$F$59:$AY$132,MATCH($B73,Analytica!$B$59:$B$162,0),MATCH(Z$15&amp;Z$10,Analytica!$F$58:$AY$58&amp;Analytica!$F$51:'Analytica'!$AY$51,0)),"")</f>
        <v>11.735669418796171</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09/21/2023 12:20:17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476.74778352540619</v>
      </c>
      <c r="R74" s="637">
        <f t="array" ref="R74">IFERROR(INDEX(Analytica!$F$59:$AY$132,MATCH($B74,Analytica!$B$59:$B$162,0),MATCH(R$15&amp;R$10,Analytica!$F$58:$AY$58&amp;Analytica!$F$51:'Analytica'!$AY$51,0)),"")</f>
        <v>491.83197524024433</v>
      </c>
      <c r="S74" s="637">
        <f t="array" ref="S74">IFERROR(INDEX(Analytica!$F$59:$AY$132,MATCH($B74,Analytica!$B$59:$B$162,0),MATCH(S$15&amp;S$10,Analytica!$F$58:$AY$58&amp;Analytica!$F$51:'Analytica'!$AY$51,0)),"")</f>
        <v>506.91616695508259</v>
      </c>
      <c r="T74" s="637">
        <f t="array" ref="T74">IFERROR(INDEX(Analytica!$F$59:$AY$132,MATCH($B74,Analytica!$B$59:$B$162,0),MATCH(T$15&amp;T$10,Analytica!$F$58:$AY$58&amp;Analytica!$F$51:'Analytica'!$AY$51,0)),"")</f>
        <v>520.42431194208189</v>
      </c>
      <c r="U74" s="637">
        <f t="array" ref="U74">IFERROR(INDEX(Analytica!$F$59:$AY$132,MATCH($B74,Analytica!$B$59:$B$162,0),MATCH(U$15&amp;U$10,Analytica!$F$58:$AY$58&amp;Analytica!$F$51:'Analytica'!$AY$51,0)),"")</f>
        <v>533.93245692908113</v>
      </c>
      <c r="V74" s="637">
        <f t="array" ref="V74">IFERROR(INDEX(Analytica!$F$59:$AY$132,MATCH($B74,Analytica!$B$59:$B$162,0),MATCH(V$15&amp;V$10,Analytica!$F$58:$AY$58&amp;Analytica!$F$51:'Analytica'!$AY$51,0)),"")</f>
        <v>551.67118115070787</v>
      </c>
      <c r="W74" s="637">
        <f t="array" ref="W74">IFERROR(INDEX(Analytica!$F$59:$AY$132,MATCH($B74,Analytica!$B$59:$B$162,0),MATCH(W$15&amp;W$10,Analytica!$F$58:$AY$58&amp;Analytica!$F$51:'Analytica'!$AY$51,0)),"")</f>
        <v>12.872190155185967</v>
      </c>
      <c r="X74" s="637">
        <f t="array" ref="X74">IFERROR(INDEX(Analytica!$F$59:$AY$132,MATCH($B74,Analytica!$B$59:$B$162,0),MATCH(X$15&amp;X$10,Analytica!$F$58:$AY$58&amp;Analytica!$F$51:'Analytica'!$AY$51,0)),"")</f>
        <v>13.686736507787229</v>
      </c>
      <c r="Y74" s="637">
        <f t="array" ref="Y74">IFERROR(INDEX(Analytica!$F$59:$AY$132,MATCH($B74,Analytica!$B$59:$B$162,0),MATCH(Y$15&amp;Y$10,Analytica!$F$58:$AY$58&amp;Analytica!$F$51:'Analytica'!$AY$51,0)),"")</f>
        <v>14.41617633708519</v>
      </c>
      <c r="Z74" s="637">
        <f t="array" ref="Z74">IFERROR(INDEX(Analytica!$F$59:$AY$132,MATCH($B74,Analytica!$B$59:$B$162,0),MATCH(Z$15&amp;Z$10,Analytica!$F$58:$AY$58&amp;Analytica!$F$51:'Analytica'!$AY$51,0)),"")</f>
        <v>14.895121891069111</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09/21/2023 12:20:17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476.74778352540619</v>
      </c>
      <c r="R75" s="637">
        <f t="array" ref="R75">IFERROR(INDEX(Analytica!$F$59:$AY$132,MATCH($B75,Analytica!$B$59:$B$162,0),MATCH(R$15&amp;R$10,Analytica!$F$58:$AY$58&amp;Analytica!$F$51:'Analytica'!$AY$51,0)),"")</f>
        <v>491.83197524024433</v>
      </c>
      <c r="S75" s="637">
        <f t="array" ref="S75">IFERROR(INDEX(Analytica!$F$59:$AY$132,MATCH($B75,Analytica!$B$59:$B$162,0),MATCH(S$15&amp;S$10,Analytica!$F$58:$AY$58&amp;Analytica!$F$51:'Analytica'!$AY$51,0)),"")</f>
        <v>506.91616695508259</v>
      </c>
      <c r="T75" s="637">
        <f t="array" ref="T75">IFERROR(INDEX(Analytica!$F$59:$AY$132,MATCH($B75,Analytica!$B$59:$B$162,0),MATCH(T$15&amp;T$10,Analytica!$F$58:$AY$58&amp;Analytica!$F$51:'Analytica'!$AY$51,0)),"")</f>
        <v>520.42431194208189</v>
      </c>
      <c r="U75" s="637">
        <f t="array" ref="U75">IFERROR(INDEX(Analytica!$F$59:$AY$132,MATCH($B75,Analytica!$B$59:$B$162,0),MATCH(U$15&amp;U$10,Analytica!$F$58:$AY$58&amp;Analytica!$F$51:'Analytica'!$AY$51,0)),"")</f>
        <v>533.93245692908113</v>
      </c>
      <c r="V75" s="637">
        <f t="array" ref="V75">IFERROR(INDEX(Analytica!$F$59:$AY$132,MATCH($B75,Analytica!$B$59:$B$162,0),MATCH(V$15&amp;V$10,Analytica!$F$58:$AY$58&amp;Analytica!$F$51:'Analytica'!$AY$51,0)),"")</f>
        <v>551.67118115070787</v>
      </c>
      <c r="W75" s="637">
        <f t="array" ref="W75">IFERROR(INDEX(Analytica!$F$59:$AY$132,MATCH($B75,Analytica!$B$59:$B$162,0),MATCH(W$15&amp;W$10,Analytica!$F$58:$AY$58&amp;Analytica!$F$51:'Analytica'!$AY$51,0)),"")</f>
        <v>12.872190155185967</v>
      </c>
      <c r="X75" s="637">
        <f t="array" ref="X75">IFERROR(INDEX(Analytica!$F$59:$AY$132,MATCH($B75,Analytica!$B$59:$B$162,0),MATCH(X$15&amp;X$10,Analytica!$F$58:$AY$58&amp;Analytica!$F$51:'Analytica'!$AY$51,0)),"")</f>
        <v>13.686736507787229</v>
      </c>
      <c r="Y75" s="637">
        <f t="array" ref="Y75">IFERROR(INDEX(Analytica!$F$59:$AY$132,MATCH($B75,Analytica!$B$59:$B$162,0),MATCH(Y$15&amp;Y$10,Analytica!$F$58:$AY$58&amp;Analytica!$F$51:'Analytica'!$AY$51,0)),"")</f>
        <v>14.41617633708519</v>
      </c>
      <c r="Z75" s="637">
        <f t="array" ref="Z75">IFERROR(INDEX(Analytica!$F$59:$AY$132,MATCH($B75,Analytica!$B$59:$B$162,0),MATCH(Z$15&amp;Z$10,Analytica!$F$58:$AY$58&amp;Analytica!$F$51:'Analytica'!$AY$51,0)),"")</f>
        <v>14.895121891069111</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09/21/2023 12:20:17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09/21/2023 12:20:17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827.72774685699324</v>
      </c>
      <c r="R77" s="637">
        <f t="array" ref="R77">IFERROR(INDEX(Analytica!$F$59:$AY$132,MATCH($B77,Analytica!$B$59:$B$162,0),MATCH(R$15&amp;R$10,Analytica!$F$58:$AY$58&amp;Analytica!$F$51:'Analytica'!$AY$51,0)),"")</f>
        <v>854.49709320833597</v>
      </c>
      <c r="S77" s="637">
        <f t="array" ref="S77">IFERROR(INDEX(Analytica!$F$59:$AY$132,MATCH($B77,Analytica!$B$59:$B$162,0),MATCH(S$15&amp;S$10,Analytica!$F$58:$AY$58&amp;Analytica!$F$51:'Analytica'!$AY$51,0)),"")</f>
        <v>881.26643955967904</v>
      </c>
      <c r="T77" s="637">
        <f t="array" ref="T77">IFERROR(INDEX(Analytica!$F$59:$AY$132,MATCH($B77,Analytica!$B$59:$B$162,0),MATCH(T$15&amp;T$10,Analytica!$F$58:$AY$58&amp;Analytica!$F$51:'Analytica'!$AY$51,0)),"")</f>
        <v>898.44787511458867</v>
      </c>
      <c r="U77" s="637">
        <f t="array" ref="U77">IFERROR(INDEX(Analytica!$F$59:$AY$132,MATCH($B77,Analytica!$B$59:$B$162,0),MATCH(U$15&amp;U$10,Analytica!$F$58:$AY$58&amp;Analytica!$F$51:'Analytica'!$AY$51,0)),"")</f>
        <v>915.62931066949807</v>
      </c>
      <c r="V77" s="637">
        <f t="array" ref="V77">IFERROR(INDEX(Analytica!$F$59:$AY$132,MATCH($B77,Analytica!$B$59:$B$162,0),MATCH(V$15&amp;V$10,Analytica!$F$58:$AY$58&amp;Analytica!$F$51:'Analytica'!$AY$51,0)),"")</f>
        <v>945.21587798179326</v>
      </c>
      <c r="W77" s="637">
        <f t="array" ref="W77">IFERROR(INDEX(Analytica!$F$59:$AY$132,MATCH($B77,Analytica!$B$59:$B$162,0),MATCH(W$15&amp;W$10,Analytica!$F$58:$AY$58&amp;Analytica!$F$51:'Analytica'!$AY$51,0)),"")</f>
        <v>22.348649165138816</v>
      </c>
      <c r="X77" s="637">
        <f t="array" ref="X77">IFERROR(INDEX(Analytica!$F$59:$AY$132,MATCH($B77,Analytica!$B$59:$B$162,0),MATCH(X$15&amp;X$10,Analytica!$F$58:$AY$58&amp;Analytica!$F$51:'Analytica'!$AY$51,0)),"")</f>
        <v>23.794193868111336</v>
      </c>
      <c r="Y77" s="637">
        <f t="array" ref="Y77">IFERROR(INDEX(Analytica!$F$59:$AY$132,MATCH($B77,Analytica!$B$59:$B$162,0),MATCH(Y$15&amp;Y$10,Analytica!$F$58:$AY$58&amp;Analytica!$F$51:'Analytica'!$AY$51,0)),"")</f>
        <v>24.721991388076447</v>
      </c>
      <c r="Z77" s="637">
        <f t="array" ref="Z77">IFERROR(INDEX(Analytica!$F$59:$AY$132,MATCH($B77,Analytica!$B$59:$B$162,0),MATCH(Z$15&amp;Z$10,Analytica!$F$58:$AY$58&amp;Analytica!$F$51:'Analytica'!$AY$51,0)),"")</f>
        <v>25.520828705508418</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09/21/2023 12:20:17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827.72774685699324</v>
      </c>
      <c r="R78" s="637">
        <f t="array" ref="R78">IFERROR(INDEX(Analytica!$F$59:$AY$132,MATCH($B78,Analytica!$B$59:$B$162,0),MATCH(R$15&amp;R$10,Analytica!$F$58:$AY$58&amp;Analytica!$F$51:'Analytica'!$AY$51,0)),"")</f>
        <v>854.49709320833597</v>
      </c>
      <c r="S78" s="637">
        <f t="array" ref="S78">IFERROR(INDEX(Analytica!$F$59:$AY$132,MATCH($B78,Analytica!$B$59:$B$162,0),MATCH(S$15&amp;S$10,Analytica!$F$58:$AY$58&amp;Analytica!$F$51:'Analytica'!$AY$51,0)),"")</f>
        <v>881.26643955967904</v>
      </c>
      <c r="T78" s="637">
        <f t="array" ref="T78">IFERROR(INDEX(Analytica!$F$59:$AY$132,MATCH($B78,Analytica!$B$59:$B$162,0),MATCH(T$15&amp;T$10,Analytica!$F$58:$AY$58&amp;Analytica!$F$51:'Analytica'!$AY$51,0)),"")</f>
        <v>898.44787511458867</v>
      </c>
      <c r="U78" s="637">
        <f t="array" ref="U78">IFERROR(INDEX(Analytica!$F$59:$AY$132,MATCH($B78,Analytica!$B$59:$B$162,0),MATCH(U$15&amp;U$10,Analytica!$F$58:$AY$58&amp;Analytica!$F$51:'Analytica'!$AY$51,0)),"")</f>
        <v>915.62931066949807</v>
      </c>
      <c r="V78" s="637">
        <f t="array" ref="V78">IFERROR(INDEX(Analytica!$F$59:$AY$132,MATCH($B78,Analytica!$B$59:$B$162,0),MATCH(V$15&amp;V$10,Analytica!$F$58:$AY$58&amp;Analytica!$F$51:'Analytica'!$AY$51,0)),"")</f>
        <v>945.21587798179326</v>
      </c>
      <c r="W78" s="637">
        <f t="array" ref="W78">IFERROR(INDEX(Analytica!$F$59:$AY$132,MATCH($B78,Analytica!$B$59:$B$162,0),MATCH(W$15&amp;W$10,Analytica!$F$58:$AY$58&amp;Analytica!$F$51:'Analytica'!$AY$51,0)),"")</f>
        <v>22.348649165138816</v>
      </c>
      <c r="X78" s="637">
        <f t="array" ref="X78">IFERROR(INDEX(Analytica!$F$59:$AY$132,MATCH($B78,Analytica!$B$59:$B$162,0),MATCH(X$15&amp;X$10,Analytica!$F$58:$AY$58&amp;Analytica!$F$51:'Analytica'!$AY$51,0)),"")</f>
        <v>23.794193868111336</v>
      </c>
      <c r="Y78" s="637">
        <f t="array" ref="Y78">IFERROR(INDEX(Analytica!$F$59:$AY$132,MATCH($B78,Analytica!$B$59:$B$162,0),MATCH(Y$15&amp;Y$10,Analytica!$F$58:$AY$58&amp;Analytica!$F$51:'Analytica'!$AY$51,0)),"")</f>
        <v>24.721991388076447</v>
      </c>
      <c r="Z78" s="637">
        <f t="array" ref="Z78">IFERROR(INDEX(Analytica!$F$59:$AY$132,MATCH($B78,Analytica!$B$59:$B$162,0),MATCH(Z$15&amp;Z$10,Analytica!$F$58:$AY$58&amp;Analytica!$F$51:'Analytica'!$AY$51,0)),"")</f>
        <v>25.520828705508418</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09/21/2023 12:20:17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09/21/2023 12:20:17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09/21/2023 12:20:17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09/21/2023 12:20:17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588.99088834881991</v>
      </c>
      <c r="R82" s="637">
        <f t="array" ref="R82">IFERROR(INDEX(Analytica!$F$59:$AY$132,MATCH($B82,Analytica!$B$59:$B$162,0),MATCH(R$15&amp;R$10,Analytica!$F$58:$AY$58&amp;Analytica!$F$51:'Analytica'!$AY$51,0)),"")</f>
        <v>591.03513773094801</v>
      </c>
      <c r="S82" s="637">
        <f t="array" ref="S82">IFERROR(INDEX(Analytica!$F$59:$AY$132,MATCH($B82,Analytica!$B$59:$B$162,0),MATCH(S$15&amp;S$10,Analytica!$F$58:$AY$58&amp;Analytica!$F$51:'Analytica'!$AY$51,0)),"")</f>
        <v>593.07938711307622</v>
      </c>
      <c r="T82" s="637">
        <f t="array" ref="T82">IFERROR(INDEX(Analytica!$F$59:$AY$132,MATCH($B82,Analytica!$B$59:$B$162,0),MATCH(T$15&amp;T$10,Analytica!$F$58:$AY$58&amp;Analytica!$F$51:'Analytica'!$AY$51,0)),"")</f>
        <v>599.60308321858258</v>
      </c>
      <c r="U82" s="637">
        <f t="array" ref="U82">IFERROR(INDEX(Analytica!$F$59:$AY$132,MATCH($B82,Analytica!$B$59:$B$162,0),MATCH(U$15&amp;U$10,Analytica!$F$58:$AY$58&amp;Analytica!$F$51:'Analytica'!$AY$51,0)),"")</f>
        <v>606.12677932408883</v>
      </c>
      <c r="V82" s="637">
        <f t="array" ref="V82">IFERROR(INDEX(Analytica!$F$59:$AY$132,MATCH($B82,Analytica!$B$59:$B$162,0),MATCH(V$15&amp;V$10,Analytica!$F$58:$AY$58&amp;Analytica!$F$51:'Analytica'!$AY$51,0)),"")</f>
        <v>615.22177787460362</v>
      </c>
      <c r="W82" s="637">
        <f t="array" ref="W82">IFERROR(INDEX(Analytica!$F$59:$AY$132,MATCH($B82,Analytica!$B$59:$B$162,0),MATCH(W$15&amp;W$10,Analytica!$F$58:$AY$58&amp;Analytica!$F$51:'Analytica'!$AY$51,0)),"")</f>
        <v>15.902753985418137</v>
      </c>
      <c r="X82" s="637">
        <f t="array" ref="X82">IFERROR(INDEX(Analytica!$F$59:$AY$132,MATCH($B82,Analytica!$B$59:$B$162,0),MATCH(X$15&amp;X$10,Analytica!$F$58:$AY$58&amp;Analytica!$F$51:'Analytica'!$AY$51,0)),"")</f>
        <v>16.013143452053058</v>
      </c>
      <c r="Y82" s="637">
        <f t="array" ref="Y82">IFERROR(INDEX(Analytica!$F$59:$AY$132,MATCH($B82,Analytica!$B$59:$B$162,0),MATCH(Y$15&amp;Y$10,Analytica!$F$58:$AY$58&amp;Analytica!$F$51:'Analytica'!$AY$51,0)),"")</f>
        <v>16.365423041750397</v>
      </c>
      <c r="Z82" s="637">
        <f t="array" ref="Z82">IFERROR(INDEX(Analytica!$F$59:$AY$132,MATCH($B82,Analytica!$B$59:$B$162,0),MATCH(Z$15&amp;Z$10,Analytica!$F$58:$AY$58&amp;Analytica!$F$51:'Analytica'!$AY$51,0)),"")</f>
        <v>16.610988002614299</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09/21/2023 12:20:17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588.99088834881991</v>
      </c>
      <c r="R83" s="637">
        <f t="array" ref="R83">IFERROR(INDEX(Analytica!$F$59:$AY$132,MATCH($B83,Analytica!$B$59:$B$162,0),MATCH(R$15&amp;R$10,Analytica!$F$58:$AY$58&amp;Analytica!$F$51:'Analytica'!$AY$51,0)),"")</f>
        <v>591.03513773094801</v>
      </c>
      <c r="S83" s="637">
        <f t="array" ref="S83">IFERROR(INDEX(Analytica!$F$59:$AY$132,MATCH($B83,Analytica!$B$59:$B$162,0),MATCH(S$15&amp;S$10,Analytica!$F$58:$AY$58&amp;Analytica!$F$51:'Analytica'!$AY$51,0)),"")</f>
        <v>593.07938711307622</v>
      </c>
      <c r="T83" s="637">
        <f t="array" ref="T83">IFERROR(INDEX(Analytica!$F$59:$AY$132,MATCH($B83,Analytica!$B$59:$B$162,0),MATCH(T$15&amp;T$10,Analytica!$F$58:$AY$58&amp;Analytica!$F$51:'Analytica'!$AY$51,0)),"")</f>
        <v>599.60308321858258</v>
      </c>
      <c r="U83" s="637">
        <f t="array" ref="U83">IFERROR(INDEX(Analytica!$F$59:$AY$132,MATCH($B83,Analytica!$B$59:$B$162,0),MATCH(U$15&amp;U$10,Analytica!$F$58:$AY$58&amp;Analytica!$F$51:'Analytica'!$AY$51,0)),"")</f>
        <v>606.12677932408883</v>
      </c>
      <c r="V83" s="637">
        <f t="array" ref="V83">IFERROR(INDEX(Analytica!$F$59:$AY$132,MATCH($B83,Analytica!$B$59:$B$162,0),MATCH(V$15&amp;V$10,Analytica!$F$58:$AY$58&amp;Analytica!$F$51:'Analytica'!$AY$51,0)),"")</f>
        <v>615.22177787460362</v>
      </c>
      <c r="W83" s="637">
        <f t="array" ref="W83">IFERROR(INDEX(Analytica!$F$59:$AY$132,MATCH($B83,Analytica!$B$59:$B$162,0),MATCH(W$15&amp;W$10,Analytica!$F$58:$AY$58&amp;Analytica!$F$51:'Analytica'!$AY$51,0)),"")</f>
        <v>15.902753985418137</v>
      </c>
      <c r="X83" s="637">
        <f t="array" ref="X83">IFERROR(INDEX(Analytica!$F$59:$AY$132,MATCH($B83,Analytica!$B$59:$B$162,0),MATCH(X$15&amp;X$10,Analytica!$F$58:$AY$58&amp;Analytica!$F$51:'Analytica'!$AY$51,0)),"")</f>
        <v>16.013143452053058</v>
      </c>
      <c r="Y83" s="637">
        <f t="array" ref="Y83">IFERROR(INDEX(Analytica!$F$59:$AY$132,MATCH($B83,Analytica!$B$59:$B$162,0),MATCH(Y$15&amp;Y$10,Analytica!$F$58:$AY$58&amp;Analytica!$F$51:'Analytica'!$AY$51,0)),"")</f>
        <v>16.365423041750397</v>
      </c>
      <c r="Z83" s="637">
        <f t="array" ref="Z83">IFERROR(INDEX(Analytica!$F$59:$AY$132,MATCH($B83,Analytica!$B$59:$B$162,0),MATCH(Z$15&amp;Z$10,Analytica!$F$58:$AY$58&amp;Analytica!$F$51:'Analytica'!$AY$51,0)),"")</f>
        <v>16.610988002614299</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09/21/2023 12:20:17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588.99088834881991</v>
      </c>
      <c r="R84" s="637">
        <f t="array" ref="R84">IFERROR(INDEX(Analytica!$F$59:$AY$132,MATCH($B84,Analytica!$B$59:$B$162,0),MATCH(R$15&amp;R$10,Analytica!$F$58:$AY$58&amp;Analytica!$F$51:'Analytica'!$AY$51,0)),"")</f>
        <v>591.03513773094801</v>
      </c>
      <c r="S84" s="637">
        <f t="array" ref="S84">IFERROR(INDEX(Analytica!$F$59:$AY$132,MATCH($B84,Analytica!$B$59:$B$162,0),MATCH(S$15&amp;S$10,Analytica!$F$58:$AY$58&amp;Analytica!$F$51:'Analytica'!$AY$51,0)),"")</f>
        <v>593.07938711307622</v>
      </c>
      <c r="T84" s="637">
        <f t="array" ref="T84">IFERROR(INDEX(Analytica!$F$59:$AY$132,MATCH($B84,Analytica!$B$59:$B$162,0),MATCH(T$15&amp;T$10,Analytica!$F$58:$AY$58&amp;Analytica!$F$51:'Analytica'!$AY$51,0)),"")</f>
        <v>599.60308321858258</v>
      </c>
      <c r="U84" s="637">
        <f t="array" ref="U84">IFERROR(INDEX(Analytica!$F$59:$AY$132,MATCH($B84,Analytica!$B$59:$B$162,0),MATCH(U$15&amp;U$10,Analytica!$F$58:$AY$58&amp;Analytica!$F$51:'Analytica'!$AY$51,0)),"")</f>
        <v>606.12677932408883</v>
      </c>
      <c r="V84" s="637">
        <f t="array" ref="V84">IFERROR(INDEX(Analytica!$F$59:$AY$132,MATCH($B84,Analytica!$B$59:$B$162,0),MATCH(V$15&amp;V$10,Analytica!$F$58:$AY$58&amp;Analytica!$F$51:'Analytica'!$AY$51,0)),"")</f>
        <v>615.22177787460362</v>
      </c>
      <c r="W84" s="637">
        <f t="array" ref="W84">IFERROR(INDEX(Analytica!$F$59:$AY$132,MATCH($B84,Analytica!$B$59:$B$162,0),MATCH(W$15&amp;W$10,Analytica!$F$58:$AY$58&amp;Analytica!$F$51:'Analytica'!$AY$51,0)),"")</f>
        <v>15.902753985418137</v>
      </c>
      <c r="X84" s="637">
        <f t="array" ref="X84">IFERROR(INDEX(Analytica!$F$59:$AY$132,MATCH($B84,Analytica!$B$59:$B$162,0),MATCH(X$15&amp;X$10,Analytica!$F$58:$AY$58&amp;Analytica!$F$51:'Analytica'!$AY$51,0)),"")</f>
        <v>16.013143452053058</v>
      </c>
      <c r="Y84" s="637">
        <f t="array" ref="Y84">IFERROR(INDEX(Analytica!$F$59:$AY$132,MATCH($B84,Analytica!$B$59:$B$162,0),MATCH(Y$15&amp;Y$10,Analytica!$F$58:$AY$58&amp;Analytica!$F$51:'Analytica'!$AY$51,0)),"")</f>
        <v>16.365423041750397</v>
      </c>
      <c r="Z84" s="637">
        <f t="array" ref="Z84">IFERROR(INDEX(Analytica!$F$59:$AY$132,MATCH($B84,Analytica!$B$59:$B$162,0),MATCH(Z$15&amp;Z$10,Analytica!$F$58:$AY$58&amp;Analytica!$F$51:'Analytica'!$AY$51,0)),"")</f>
        <v>16.610988002614299</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09/21/2023 12:20:17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1672.3993450461392</v>
      </c>
      <c r="T85" s="637">
        <f t="array" ref="T85">IFERROR(INDEX(Analytica!$F$59:$AY$132,MATCH($B85,Analytica!$B$59:$B$162,0),MATCH(T$15&amp;T$10,Analytica!$F$58:$AY$58&amp;Analytica!$F$51:'Analytica'!$AY$51,0)),"")</f>
        <v>1685.2562227432286</v>
      </c>
      <c r="U85" s="637">
        <f t="array" ref="U85">IFERROR(INDEX(Analytica!$F$59:$AY$132,MATCH($B85,Analytica!$B$59:$B$162,0),MATCH(U$15&amp;U$10,Analytica!$F$58:$AY$58&amp;Analytica!$F$51:'Analytica'!$AY$51,0)),"")</f>
        <v>1698.1131004403182</v>
      </c>
      <c r="V85" s="637">
        <f t="array" ref="V85">IFERROR(INDEX(Analytica!$F$59:$AY$132,MATCH($B85,Analytica!$B$59:$B$162,0),MATCH(V$15&amp;V$10,Analytica!$F$58:$AY$58&amp;Analytica!$F$51:'Analytica'!$AY$51,0)),"")</f>
        <v>1731.2940437307595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45.154782316245758</v>
      </c>
      <c r="Y85" s="637">
        <f t="array" ref="Y85">IFERROR(INDEX(Analytica!$F$59:$AY$132,MATCH($B85,Analytica!$B$59:$B$162,0),MATCH(Y$15&amp;Y$10,Analytica!$F$58:$AY$58&amp;Analytica!$F$51:'Analytica'!$AY$51,0)),"")</f>
        <v>45.849053711888594</v>
      </c>
      <c r="Z85" s="637">
        <f t="array" ref="Z85">IFERROR(INDEX(Analytica!$F$59:$AY$132,MATCH($B85,Analytica!$B$59:$B$162,0),MATCH(Z$15&amp;Z$10,Analytica!$F$58:$AY$58&amp;Analytica!$F$51:'Analytica'!$AY$51,0)),"")</f>
        <v>46.744939180730505</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09/21/2023 12:20:17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955.91020610261251</v>
      </c>
      <c r="R86" s="637">
        <f t="array" ref="R86">IFERROR(INDEX(Analytica!$F$59:$AY$132,MATCH($B86,Analytica!$B$59:$B$162,0),MATCH(R$15&amp;R$10,Analytica!$F$58:$AY$58&amp;Analytica!$F$51:'Analytica'!$AY$51,0)),"")</f>
        <v>961.41375584437571</v>
      </c>
      <c r="S86" s="637">
        <f t="array" ref="S86">IFERROR(INDEX(Analytica!$F$59:$AY$132,MATCH($B86,Analytica!$B$59:$B$162,0),MATCH(S$15&amp;S$10,Analytica!$F$58:$AY$58&amp;Analytica!$F$51:'Analytica'!$AY$51,0)),"")</f>
        <v>966.91730558613915</v>
      </c>
      <c r="T86" s="637">
        <f t="array" ref="T86">IFERROR(INDEX(Analytica!$F$59:$AY$132,MATCH($B86,Analytica!$B$59:$B$162,0),MATCH(T$15&amp;T$10,Analytica!$F$58:$AY$58&amp;Analytica!$F$51:'Analytica'!$AY$51,0)),"")</f>
        <v>974.63568364717787</v>
      </c>
      <c r="U86" s="637">
        <f t="array" ref="U86">IFERROR(INDEX(Analytica!$F$59:$AY$132,MATCH($B86,Analytica!$B$59:$B$162,0),MATCH(U$15&amp;U$10,Analytica!$F$58:$AY$58&amp;Analytica!$F$51:'Analytica'!$AY$51,0)),"")</f>
        <v>982.35406170821636</v>
      </c>
      <c r="V86" s="637">
        <f t="array" ref="V86">IFERROR(INDEX(Analytica!$F$59:$AY$132,MATCH($B86,Analytica!$B$59:$B$162,0),MATCH(V$15&amp;V$10,Analytica!$F$58:$AY$58&amp;Analytica!$F$51:'Analytica'!$AY$51,0)),"")</f>
        <v>999.53622293291085</v>
      </c>
      <c r="W86" s="637">
        <f t="array" ref="W86">IFERROR(INDEX(Analytica!$F$59:$AY$132,MATCH($B86,Analytica!$B$59:$B$162,0),MATCH(W$15&amp;W$10,Analytica!$F$58:$AY$58&amp;Analytica!$F$51:'Analytica'!$AY$51,0)),"")</f>
        <v>25.809575564770537</v>
      </c>
      <c r="X86" s="637">
        <f t="array" ref="X86">IFERROR(INDEX(Analytica!$F$59:$AY$132,MATCH($B86,Analytica!$B$59:$B$162,0),MATCH(X$15&amp;X$10,Analytica!$F$58:$AY$58&amp;Analytica!$F$51:'Analytica'!$AY$51,0)),"")</f>
        <v>26.106767250825758</v>
      </c>
      <c r="Y86" s="637">
        <f t="array" ref="Y86">IFERROR(INDEX(Analytica!$F$59:$AY$132,MATCH($B86,Analytica!$B$59:$B$162,0),MATCH(Y$15&amp;Y$10,Analytica!$F$58:$AY$58&amp;Analytica!$F$51:'Analytica'!$AY$51,0)),"")</f>
        <v>26.523559666121841</v>
      </c>
      <c r="Z86" s="637">
        <f t="array" ref="Z86">IFERROR(INDEX(Analytica!$F$59:$AY$132,MATCH($B86,Analytica!$B$59:$B$162,0),MATCH(Z$15&amp;Z$10,Analytica!$F$58:$AY$58&amp;Analytica!$F$51:'Analytica'!$AY$51,0)),"")</f>
        <v>26.987478019188593</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09/21/2023 12:20:17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955.91020610261251</v>
      </c>
      <c r="R87" s="637">
        <f t="array" ref="R87">IFERROR(INDEX(Analytica!$F$59:$AY$132,MATCH($B87,Analytica!$B$59:$B$162,0),MATCH(R$15&amp;R$10,Analytica!$F$58:$AY$58&amp;Analytica!$F$51:'Analytica'!$AY$51,0)),"")</f>
        <v>961.41375584437571</v>
      </c>
      <c r="S87" s="637">
        <f t="array" ref="S87">IFERROR(INDEX(Analytica!$F$59:$AY$132,MATCH($B87,Analytica!$B$59:$B$162,0),MATCH(S$15&amp;S$10,Analytica!$F$58:$AY$58&amp;Analytica!$F$51:'Analytica'!$AY$51,0)),"")</f>
        <v>966.91730558613915</v>
      </c>
      <c r="T87" s="637">
        <f t="array" ref="T87">IFERROR(INDEX(Analytica!$F$59:$AY$132,MATCH($B87,Analytica!$B$59:$B$162,0),MATCH(T$15&amp;T$10,Analytica!$F$58:$AY$58&amp;Analytica!$F$51:'Analytica'!$AY$51,0)),"")</f>
        <v>974.63568364717787</v>
      </c>
      <c r="U87" s="637">
        <f t="array" ref="U87">IFERROR(INDEX(Analytica!$F$59:$AY$132,MATCH($B87,Analytica!$B$59:$B$162,0),MATCH(U$15&amp;U$10,Analytica!$F$58:$AY$58&amp;Analytica!$F$51:'Analytica'!$AY$51,0)),"")</f>
        <v>982.35406170821636</v>
      </c>
      <c r="V87" s="637">
        <f t="array" ref="V87">IFERROR(INDEX(Analytica!$F$59:$AY$132,MATCH($B87,Analytica!$B$59:$B$162,0),MATCH(V$15&amp;V$10,Analytica!$F$58:$AY$58&amp;Analytica!$F$51:'Analytica'!$AY$51,0)),"")</f>
        <v>999.53622293291085</v>
      </c>
      <c r="W87" s="637">
        <f t="array" ref="W87">IFERROR(INDEX(Analytica!$F$59:$AY$132,MATCH($B87,Analytica!$B$59:$B$162,0),MATCH(W$15&amp;W$10,Analytica!$F$58:$AY$58&amp;Analytica!$F$51:'Analytica'!$AY$51,0)),"")</f>
        <v>25.809575564770537</v>
      </c>
      <c r="X87" s="637">
        <f t="array" ref="X87">IFERROR(INDEX(Analytica!$F$59:$AY$132,MATCH($B87,Analytica!$B$59:$B$162,0),MATCH(X$15&amp;X$10,Analytica!$F$58:$AY$58&amp;Analytica!$F$51:'Analytica'!$AY$51,0)),"")</f>
        <v>26.106767250825758</v>
      </c>
      <c r="Y87" s="637">
        <f t="array" ref="Y87">IFERROR(INDEX(Analytica!$F$59:$AY$132,MATCH($B87,Analytica!$B$59:$B$162,0),MATCH(Y$15&amp;Y$10,Analytica!$F$58:$AY$58&amp;Analytica!$F$51:'Analytica'!$AY$51,0)),"")</f>
        <v>26.523559666121841</v>
      </c>
      <c r="Z87" s="637">
        <f t="array" ref="Z87">IFERROR(INDEX(Analytica!$F$59:$AY$132,MATCH($B87,Analytica!$B$59:$B$162,0),MATCH(Z$15&amp;Z$10,Analytica!$F$58:$AY$58&amp;Analytica!$F$51:'Analytica'!$AY$51,0)),"")</f>
        <v>26.987478019188593</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09/21/2023 12:20:17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1994.3782296161294</v>
      </c>
      <c r="T88" s="637">
        <f t="array" ref="T88">IFERROR(INDEX(Analytica!$F$59:$AY$132,MATCH($B88,Analytica!$B$59:$B$162,0),MATCH(T$15&amp;T$10,Analytica!$F$58:$AY$58&amp;Analytica!$F$51:'Analytica'!$AY$51,0)),"")</f>
        <v>2009.3581927547843</v>
      </c>
      <c r="U88" s="637">
        <f t="array" ref="U88">IFERROR(INDEX(Analytica!$F$59:$AY$132,MATCH($B88,Analytica!$B$59:$B$162,0),MATCH(U$15&amp;U$10,Analytica!$F$58:$AY$58&amp;Analytica!$F$51:'Analytica'!$AY$51,0)),"")</f>
        <v>2024.3381558934395</v>
      </c>
      <c r="V88" s="637">
        <f t="array" ref="V88">IFERROR(INDEX(Analytica!$F$59:$AY$132,MATCH($B88,Analytica!$B$59:$B$162,0),MATCH(V$15&amp;V$10,Analytica!$F$58:$AY$58&amp;Analytica!$F$51:'Analytica'!$AY$51,0)),"")</f>
        <v>2041.9605056875255</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53.848212199635491</v>
      </c>
      <c r="Y88" s="637">
        <f t="array" ref="Y88">IFERROR(INDEX(Analytica!$F$59:$AY$132,MATCH($B88,Analytica!$B$59:$B$162,0),MATCH(Y$15&amp;Y$10,Analytica!$F$58:$AY$58&amp;Analytica!$F$51:'Analytica'!$AY$51,0)),"")</f>
        <v>54.657130209122869</v>
      </c>
      <c r="Z88" s="637">
        <f t="array" ref="Z88">IFERROR(INDEX(Analytica!$F$59:$AY$132,MATCH($B88,Analytica!$B$59:$B$162,0),MATCH(Z$15&amp;Z$10,Analytica!$F$58:$AY$58&amp;Analytica!$F$51:'Analytica'!$AY$51,0)),"")</f>
        <v>55.132933653563185</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09/21/2023 12:20:17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1994.3782296161294</v>
      </c>
      <c r="T89" s="637">
        <f t="array" ref="T89">IFERROR(INDEX(Analytica!$F$59:$AY$132,MATCH($B89,Analytica!$B$59:$B$162,0),MATCH(T$15&amp;T$10,Analytica!$F$58:$AY$58&amp;Analytica!$F$51:'Analytica'!$AY$51,0)),"")</f>
        <v>2009.3581927547843</v>
      </c>
      <c r="U89" s="637">
        <f t="array" ref="U89">IFERROR(INDEX(Analytica!$F$59:$AY$132,MATCH($B89,Analytica!$B$59:$B$162,0),MATCH(U$15&amp;U$10,Analytica!$F$58:$AY$58&amp;Analytica!$F$51:'Analytica'!$AY$51,0)),"")</f>
        <v>2024.3381558934395</v>
      </c>
      <c r="V89" s="637">
        <f t="array" ref="V89">IFERROR(INDEX(Analytica!$F$59:$AY$132,MATCH($B89,Analytica!$B$59:$B$162,0),MATCH(V$15&amp;V$10,Analytica!$F$58:$AY$58&amp;Analytica!$F$51:'Analytica'!$AY$51,0)),"")</f>
        <v>2041.9605056875255</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53.848212199635491</v>
      </c>
      <c r="Y89" s="637">
        <f t="array" ref="Y89">IFERROR(INDEX(Analytica!$F$59:$AY$132,MATCH($B89,Analytica!$B$59:$B$162,0),MATCH(Y$15&amp;Y$10,Analytica!$F$58:$AY$58&amp;Analytica!$F$51:'Analytica'!$AY$51,0)),"")</f>
        <v>54.657130209122869</v>
      </c>
      <c r="Z89" s="637">
        <f t="array" ref="Z89">IFERROR(INDEX(Analytica!$F$59:$AY$132,MATCH($B89,Analytica!$B$59:$B$162,0),MATCH(Z$15&amp;Z$10,Analytica!$F$58:$AY$58&amp;Analytica!$F$51:'Analytica'!$AY$51,0)),"")</f>
        <v>55.132933653563185</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09/21/2023 12:20:17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1994.3782296161294</v>
      </c>
      <c r="T90" s="637">
        <f t="array" ref="T90">IFERROR(INDEX(Analytica!$F$59:$AY$132,MATCH($B90,Analytica!$B$59:$B$162,0),MATCH(T$15&amp;T$10,Analytica!$F$58:$AY$58&amp;Analytica!$F$51:'Analytica'!$AY$51,0)),"")</f>
        <v>2009.3581927547843</v>
      </c>
      <c r="U90" s="637">
        <f t="array" ref="U90">IFERROR(INDEX(Analytica!$F$59:$AY$132,MATCH($B90,Analytica!$B$59:$B$162,0),MATCH(U$15&amp;U$10,Analytica!$F$58:$AY$58&amp;Analytica!$F$51:'Analytica'!$AY$51,0)),"")</f>
        <v>2024.3381558934395</v>
      </c>
      <c r="V90" s="637">
        <f t="array" ref="V90">IFERROR(INDEX(Analytica!$F$59:$AY$132,MATCH($B90,Analytica!$B$59:$B$162,0),MATCH(V$15&amp;V$10,Analytica!$F$58:$AY$58&amp;Analytica!$F$51:'Analytica'!$AY$51,0)),"")</f>
        <v>2041.9605056875255</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53.848212199635491</v>
      </c>
      <c r="Y90" s="637">
        <f t="array" ref="Y90">IFERROR(INDEX(Analytica!$F$59:$AY$132,MATCH($B90,Analytica!$B$59:$B$162,0),MATCH(Y$15&amp;Y$10,Analytica!$F$58:$AY$58&amp;Analytica!$F$51:'Analytica'!$AY$51,0)),"")</f>
        <v>54.657130209122869</v>
      </c>
      <c r="Z90" s="637">
        <f t="array" ref="Z90">IFERROR(INDEX(Analytica!$F$59:$AY$132,MATCH($B90,Analytica!$B$59:$B$162,0),MATCH(Z$15&amp;Z$10,Analytica!$F$58:$AY$58&amp;Analytica!$F$51:'Analytica'!$AY$51,0)),"")</f>
        <v>55.132933653563185</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09/21/2023 12:20:17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871.54447239677188</v>
      </c>
      <c r="R91" s="637">
        <f t="array" ref="R91">IFERROR(INDEX(Analytica!$F$59:$AY$132,MATCH($B91,Analytica!$B$59:$B$162,0),MATCH(R$15&amp;R$10,Analytica!$F$58:$AY$58&amp;Analytica!$F$51:'Analytica'!$AY$51,0)),"")</f>
        <v>791.40401330598297</v>
      </c>
      <c r="S91" s="637">
        <f t="array" ref="S91">IFERROR(INDEX(Analytica!$F$59:$AY$132,MATCH($B91,Analytica!$B$59:$B$162,0),MATCH(S$15&amp;S$10,Analytica!$F$58:$AY$58&amp;Analytica!$F$51:'Analytica'!$AY$51,0)),"")</f>
        <v>711.26355421519372</v>
      </c>
      <c r="T91" s="637">
        <f t="array" ref="T91">IFERROR(INDEX(Analytica!$F$59:$AY$132,MATCH($B91,Analytica!$B$59:$B$162,0),MATCH(T$15&amp;T$10,Analytica!$F$58:$AY$58&amp;Analytica!$F$51:'Analytica'!$AY$51,0)),"")</f>
        <v>716.96875957082284</v>
      </c>
      <c r="U91" s="637">
        <f t="array" ref="U91">IFERROR(INDEX(Analytica!$F$59:$AY$132,MATCH($B91,Analytica!$B$59:$B$162,0),MATCH(U$15&amp;U$10,Analytica!$F$58:$AY$58&amp;Analytica!$F$51:'Analytica'!$AY$51,0)),"")</f>
        <v>533.93245692908113</v>
      </c>
      <c r="V91" s="637">
        <f t="array" ref="V91">IFERROR(INDEX(Analytica!$F$59:$AY$132,MATCH($B91,Analytica!$B$59:$B$162,0),MATCH(V$15&amp;V$10,Analytica!$F$58:$AY$58&amp;Analytica!$F$51:'Analytica'!$AY$51,0)),"")</f>
        <v>551.67118115070787</v>
      </c>
      <c r="W91" s="637">
        <f t="array" ref="W91">IFERROR(INDEX(Analytica!$F$59:$AY$132,MATCH($B91,Analytica!$B$59:$B$162,0),MATCH(W$15&amp;W$10,Analytica!$F$58:$AY$58&amp;Analytica!$F$51:'Analytica'!$AY$51,0)),"")</f>
        <v>17.648775566034629</v>
      </c>
      <c r="X91" s="637">
        <f t="array" ref="X91">IFERROR(INDEX(Analytica!$F$59:$AY$132,MATCH($B91,Analytica!$B$59:$B$162,0),MATCH(X$15&amp;X$10,Analytica!$F$58:$AY$58&amp;Analytica!$F$51:'Analytica'!$AY$51,0)),"")</f>
        <v>14.403086972857674</v>
      </c>
      <c r="Y91" s="637">
        <f t="array" ref="Y91">IFERROR(INDEX(Analytica!$F$59:$AY$132,MATCH($B91,Analytica!$B$59:$B$162,0),MATCH(Y$15&amp;Y$10,Analytica!$F$58:$AY$58&amp;Analytica!$F$51:'Analytica'!$AY$51,0)),"")</f>
        <v>10.812132252813893</v>
      </c>
      <c r="Z91" s="637">
        <f t="array" ref="Z91">IFERROR(INDEX(Analytica!$F$59:$AY$132,MATCH($B91,Analytica!$B$59:$B$162,0),MATCH(Z$15&amp;Z$10,Analytica!$F$58:$AY$58&amp;Analytica!$F$51:'Analytica'!$AY$51,0)),"")</f>
        <v>11.171341418301834</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09/21/2023 12:20:17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871.54447239677188</v>
      </c>
      <c r="R92" s="637">
        <f t="array" ref="R92">IFERROR(INDEX(Analytica!$F$59:$AY$132,MATCH($B92,Analytica!$B$59:$B$162,0),MATCH(R$15&amp;R$10,Analytica!$F$58:$AY$58&amp;Analytica!$F$51:'Analytica'!$AY$51,0)),"")</f>
        <v>791.40401330598297</v>
      </c>
      <c r="S92" s="637">
        <f t="array" ref="S92">IFERROR(INDEX(Analytica!$F$59:$AY$132,MATCH($B92,Analytica!$B$59:$B$162,0),MATCH(S$15&amp;S$10,Analytica!$F$58:$AY$58&amp;Analytica!$F$51:'Analytica'!$AY$51,0)),"")</f>
        <v>711.26355421519372</v>
      </c>
      <c r="T92" s="637">
        <f t="array" ref="T92">IFERROR(INDEX(Analytica!$F$59:$AY$132,MATCH($B92,Analytica!$B$59:$B$162,0),MATCH(T$15&amp;T$10,Analytica!$F$58:$AY$58&amp;Analytica!$F$51:'Analytica'!$AY$51,0)),"")</f>
        <v>716.96875957082284</v>
      </c>
      <c r="U92" s="637">
        <f t="array" ref="U92">IFERROR(INDEX(Analytica!$F$59:$AY$132,MATCH($B92,Analytica!$B$59:$B$162,0),MATCH(U$15&amp;U$10,Analytica!$F$58:$AY$58&amp;Analytica!$F$51:'Analytica'!$AY$51,0)),"")</f>
        <v>533.93245692908113</v>
      </c>
      <c r="V92" s="637">
        <f t="array" ref="V92">IFERROR(INDEX(Analytica!$F$59:$AY$132,MATCH($B92,Analytica!$B$59:$B$162,0),MATCH(V$15&amp;V$10,Analytica!$F$58:$AY$58&amp;Analytica!$F$51:'Analytica'!$AY$51,0)),"")</f>
        <v>551.67118115070787</v>
      </c>
      <c r="W92" s="637">
        <f t="array" ref="W92">IFERROR(INDEX(Analytica!$F$59:$AY$132,MATCH($B92,Analytica!$B$59:$B$162,0),MATCH(W$15&amp;W$10,Analytica!$F$58:$AY$58&amp;Analytica!$F$51:'Analytica'!$AY$51,0)),"")</f>
        <v>17.648775566034629</v>
      </c>
      <c r="X92" s="637">
        <f t="array" ref="X92">IFERROR(INDEX(Analytica!$F$59:$AY$132,MATCH($B92,Analytica!$B$59:$B$162,0),MATCH(X$15&amp;X$10,Analytica!$F$58:$AY$58&amp;Analytica!$F$51:'Analytica'!$AY$51,0)),"")</f>
        <v>14.403086972857674</v>
      </c>
      <c r="Y92" s="637">
        <f t="array" ref="Y92">IFERROR(INDEX(Analytica!$F$59:$AY$132,MATCH($B92,Analytica!$B$59:$B$162,0),MATCH(Y$15&amp;Y$10,Analytica!$F$58:$AY$58&amp;Analytica!$F$51:'Analytica'!$AY$51,0)),"")</f>
        <v>10.812132252813893</v>
      </c>
      <c r="Z92" s="637">
        <f t="array" ref="Z92">IFERROR(INDEX(Analytica!$F$59:$AY$132,MATCH($B92,Analytica!$B$59:$B$162,0),MATCH(Z$15&amp;Z$10,Analytica!$F$58:$AY$58&amp;Analytica!$F$51:'Analytica'!$AY$51,0)),"")</f>
        <v>11.171341418301834</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09/21/2023 12:20:17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871.54447239677188</v>
      </c>
      <c r="R93" s="637">
        <f t="array" ref="R93">IFERROR(INDEX(Analytica!$F$59:$AY$132,MATCH($B93,Analytica!$B$59:$B$162,0),MATCH(R$15&amp;R$10,Analytica!$F$58:$AY$58&amp;Analytica!$F$51:'Analytica'!$AY$51,0)),"")</f>
        <v>791.40401330598297</v>
      </c>
      <c r="S93" s="637">
        <f t="array" ref="S93">IFERROR(INDEX(Analytica!$F$59:$AY$132,MATCH($B93,Analytica!$B$59:$B$162,0),MATCH(S$15&amp;S$10,Analytica!$F$58:$AY$58&amp;Analytica!$F$51:'Analytica'!$AY$51,0)),"")</f>
        <v>711.26355421519372</v>
      </c>
      <c r="T93" s="637">
        <f t="array" ref="T93">IFERROR(INDEX(Analytica!$F$59:$AY$132,MATCH($B93,Analytica!$B$59:$B$162,0),MATCH(T$15&amp;T$10,Analytica!$F$58:$AY$58&amp;Analytica!$F$51:'Analytica'!$AY$51,0)),"")</f>
        <v>716.96875957082284</v>
      </c>
      <c r="U93" s="637">
        <f t="array" ref="U93">IFERROR(INDEX(Analytica!$F$59:$AY$132,MATCH($B93,Analytica!$B$59:$B$162,0),MATCH(U$15&amp;U$10,Analytica!$F$58:$AY$58&amp;Analytica!$F$51:'Analytica'!$AY$51,0)),"")</f>
        <v>533.93245692908113</v>
      </c>
      <c r="V93" s="637">
        <f t="array" ref="V93">IFERROR(INDEX(Analytica!$F$59:$AY$132,MATCH($B93,Analytica!$B$59:$B$162,0),MATCH(V$15&amp;V$10,Analytica!$F$58:$AY$58&amp;Analytica!$F$51:'Analytica'!$AY$51,0)),"")</f>
        <v>551.67118115070787</v>
      </c>
      <c r="W93" s="637">
        <f t="array" ref="W93">IFERROR(INDEX(Analytica!$F$59:$AY$132,MATCH($B93,Analytica!$B$59:$B$162,0),MATCH(W$15&amp;W$10,Analytica!$F$58:$AY$58&amp;Analytica!$F$51:'Analytica'!$AY$51,0)),"")</f>
        <v>17.648775566034629</v>
      </c>
      <c r="X93" s="637">
        <f t="array" ref="X93">IFERROR(INDEX(Analytica!$F$59:$AY$132,MATCH($B93,Analytica!$B$59:$B$162,0),MATCH(X$15&amp;X$10,Analytica!$F$58:$AY$58&amp;Analytica!$F$51:'Analytica'!$AY$51,0)),"")</f>
        <v>14.403086972857674</v>
      </c>
      <c r="Y93" s="637">
        <f t="array" ref="Y93">IFERROR(INDEX(Analytica!$F$59:$AY$132,MATCH($B93,Analytica!$B$59:$B$162,0),MATCH(Y$15&amp;Y$10,Analytica!$F$58:$AY$58&amp;Analytica!$F$51:'Analytica'!$AY$51,0)),"")</f>
        <v>10.812132252813893</v>
      </c>
      <c r="Z93" s="637">
        <f t="array" ref="Z93">IFERROR(INDEX(Analytica!$F$59:$AY$132,MATCH($B93,Analytica!$B$59:$B$162,0),MATCH(Z$15&amp;Z$10,Analytica!$F$58:$AY$58&amp;Analytica!$F$51:'Analytica'!$AY$51,0)),"")</f>
        <v>11.171341418301834</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09/21/2023 12:20:17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1080.9827502171779</v>
      </c>
      <c r="R94" s="637">
        <f t="array" ref="R94">IFERROR(INDEX(Analytica!$F$59:$AY$132,MATCH($B94,Analytica!$B$59:$B$162,0),MATCH(R$15&amp;R$10,Analytica!$F$58:$AY$58&amp;Analytica!$F$51:'Analytica'!$AY$51,0)),"")</f>
        <v>851.67291194386314</v>
      </c>
      <c r="S94" s="637">
        <f t="array" ref="S94">IFERROR(INDEX(Analytica!$F$59:$AY$132,MATCH($B94,Analytica!$B$59:$B$162,0),MATCH(S$15&amp;S$10,Analytica!$F$58:$AY$58&amp;Analytica!$F$51:'Analytica'!$AY$51,0)),"")</f>
        <v>622.36307367054837</v>
      </c>
      <c r="T94" s="637">
        <f t="array" ref="T94">IFERROR(INDEX(Analytica!$F$59:$AY$132,MATCH($B94,Analytica!$B$59:$B$162,0),MATCH(T$15&amp;T$10,Analytica!$F$58:$AY$58&amp;Analytica!$F$51:'Analytica'!$AY$51,0)),"")</f>
        <v>593.95867654201027</v>
      </c>
      <c r="U94" s="637">
        <f t="array" ref="U94">IFERROR(INDEX(Analytica!$F$59:$AY$132,MATCH($B94,Analytica!$B$59:$B$162,0),MATCH(U$15&amp;U$10,Analytica!$F$58:$AY$58&amp;Analytica!$F$51:'Analytica'!$AY$51,0)),"")</f>
        <v>565.55427941347216</v>
      </c>
      <c r="V94" s="637">
        <f t="array" ref="V94">IFERROR(INDEX(Analytica!$F$59:$AY$132,MATCH($B94,Analytica!$B$59:$B$162,0),MATCH(V$15&amp;V$10,Analytica!$F$58:$AY$58&amp;Analytica!$F$51:'Analytica'!$AY$51,0)),"")</f>
        <v>551.67118115070787</v>
      </c>
      <c r="W94" s="637">
        <f t="array" ref="W94">IFERROR(INDEX(Analytica!$F$59:$AY$132,MATCH($B94,Analytica!$B$59:$B$162,0),MATCH(W$15&amp;W$10,Analytica!$F$58:$AY$58&amp;Analytica!$F$51:'Analytica'!$AY$51,0)),"")</f>
        <v>29.186534255863805</v>
      </c>
      <c r="X94" s="637">
        <f t="array" ref="X94">IFERROR(INDEX(Analytica!$F$59:$AY$132,MATCH($B94,Analytica!$B$59:$B$162,0),MATCH(X$15&amp;X$10,Analytica!$F$58:$AY$58&amp;Analytica!$F$51:'Analytica'!$AY$51,0)),"")</f>
        <v>16.803802989104806</v>
      </c>
      <c r="Y94" s="637">
        <f t="array" ref="Y94">IFERROR(INDEX(Analytica!$F$59:$AY$132,MATCH($B94,Analytica!$B$59:$B$162,0),MATCH(Y$15&amp;Y$10,Analytica!$F$58:$AY$58&amp;Analytica!$F$51:'Analytica'!$AY$51,0)),"")</f>
        <v>15.269965544163748</v>
      </c>
      <c r="Z94" s="637">
        <f t="array" ref="Z94">IFERROR(INDEX(Analytica!$F$59:$AY$132,MATCH($B94,Analytica!$B$59:$B$162,0),MATCH(Z$15&amp;Z$10,Analytica!$F$58:$AY$58&amp;Analytica!$F$51:'Analytica'!$AY$51,0)),"")</f>
        <v>14.895121891069111</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09/21/2023 12:20:17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1080.9827502171779</v>
      </c>
      <c r="R95" s="637">
        <f t="array" ref="R95">IFERROR(INDEX(Analytica!$F$59:$AY$132,MATCH($B95,Analytica!$B$59:$B$162,0),MATCH(R$15&amp;R$10,Analytica!$F$58:$AY$58&amp;Analytica!$F$51:'Analytica'!$AY$51,0)),"")</f>
        <v>851.67291194386314</v>
      </c>
      <c r="S95" s="637">
        <f t="array" ref="S95">IFERROR(INDEX(Analytica!$F$59:$AY$132,MATCH($B95,Analytica!$B$59:$B$162,0),MATCH(S$15&amp;S$10,Analytica!$F$58:$AY$58&amp;Analytica!$F$51:'Analytica'!$AY$51,0)),"")</f>
        <v>622.36307367054837</v>
      </c>
      <c r="T95" s="637">
        <f t="array" ref="T95">IFERROR(INDEX(Analytica!$F$59:$AY$132,MATCH($B95,Analytica!$B$59:$B$162,0),MATCH(T$15&amp;T$10,Analytica!$F$58:$AY$58&amp;Analytica!$F$51:'Analytica'!$AY$51,0)),"")</f>
        <v>593.95867654201027</v>
      </c>
      <c r="U95" s="637">
        <f t="array" ref="U95">IFERROR(INDEX(Analytica!$F$59:$AY$132,MATCH($B95,Analytica!$B$59:$B$162,0),MATCH(U$15&amp;U$10,Analytica!$F$58:$AY$58&amp;Analytica!$F$51:'Analytica'!$AY$51,0)),"")</f>
        <v>565.55427941347216</v>
      </c>
      <c r="V95" s="637">
        <f t="array" ref="V95">IFERROR(INDEX(Analytica!$F$59:$AY$132,MATCH($B95,Analytica!$B$59:$B$162,0),MATCH(V$15&amp;V$10,Analytica!$F$58:$AY$58&amp;Analytica!$F$51:'Analytica'!$AY$51,0)),"")</f>
        <v>551.67118115070787</v>
      </c>
      <c r="W95" s="637">
        <f t="array" ref="W95">IFERROR(INDEX(Analytica!$F$59:$AY$132,MATCH($B95,Analytica!$B$59:$B$162,0),MATCH(W$15&amp;W$10,Analytica!$F$58:$AY$58&amp;Analytica!$F$51:'Analytica'!$AY$51,0)),"")</f>
        <v>29.186534255863805</v>
      </c>
      <c r="X95" s="637">
        <f t="array" ref="X95">IFERROR(INDEX(Analytica!$F$59:$AY$132,MATCH($B95,Analytica!$B$59:$B$162,0),MATCH(X$15&amp;X$10,Analytica!$F$58:$AY$58&amp;Analytica!$F$51:'Analytica'!$AY$51,0)),"")</f>
        <v>16.803802989104806</v>
      </c>
      <c r="Y95" s="637">
        <f t="array" ref="Y95">IFERROR(INDEX(Analytica!$F$59:$AY$132,MATCH($B95,Analytica!$B$59:$B$162,0),MATCH(Y$15&amp;Y$10,Analytica!$F$58:$AY$58&amp;Analytica!$F$51:'Analytica'!$AY$51,0)),"")</f>
        <v>15.269965544163748</v>
      </c>
      <c r="Z95" s="637">
        <f t="array" ref="Z95">IFERROR(INDEX(Analytica!$F$59:$AY$132,MATCH($B95,Analytica!$B$59:$B$162,0),MATCH(Z$15&amp;Z$10,Analytica!$F$58:$AY$58&amp;Analytica!$F$51:'Analytica'!$AY$51,0)),"")</f>
        <v>14.895121891069111</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09/21/2023 12:20:17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1713.8067792105448</v>
      </c>
      <c r="T96" s="637">
        <f t="array" ref="T96">IFERROR(INDEX(Analytica!$F$59:$AY$132,MATCH($B96,Analytica!$B$59:$B$162,0),MATCH(T$15&amp;T$10,Analytica!$F$58:$AY$58&amp;Analytica!$F$51:'Analytica'!$AY$51,0)),"")</f>
        <v>1666.9045825543196</v>
      </c>
      <c r="U96" s="637">
        <f t="array" ref="U96">IFERROR(INDEX(Analytica!$F$59:$AY$132,MATCH($B96,Analytica!$B$59:$B$162,0),MATCH(U$15&amp;U$10,Analytica!$F$58:$AY$58&amp;Analytica!$F$51:'Analytica'!$AY$51,0)),"")</f>
        <v>1620.0023858980946</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46.272783038684707</v>
      </c>
      <c r="Y96" s="637">
        <f t="array" ref="Y96">IFERROR(INDEX(Analytica!$F$59:$AY$132,MATCH($B96,Analytica!$B$59:$B$162,0),MATCH(Y$15&amp;Y$10,Analytica!$F$58:$AY$58&amp;Analytica!$F$51:'Analytica'!$AY$51,0)),"")</f>
        <v>43.740064419248554</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09/21/2023 12:20:17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1813.1077355248217</v>
      </c>
      <c r="R97" s="637">
        <f t="array" ref="R97">IFERROR(INDEX(Analytica!$F$59:$AY$132,MATCH($B97,Analytica!$B$59:$B$162,0),MATCH(R$15&amp;R$10,Analytica!$F$58:$AY$58&amp;Analytica!$F$51:'Analytica'!$AY$51,0)),"")</f>
        <v>1437.1606416999607</v>
      </c>
      <c r="S97" s="637">
        <f t="array" ref="S97">IFERROR(INDEX(Analytica!$F$59:$AY$132,MATCH($B97,Analytica!$B$59:$B$162,0),MATCH(S$15&amp;S$10,Analytica!$F$58:$AY$58&amp;Analytica!$F$51:'Analytica'!$AY$51,0)),"")</f>
        <v>1061.2135478750995</v>
      </c>
      <c r="T97" s="637">
        <f t="array" ref="T97">IFERROR(INDEX(Analytica!$F$59:$AY$132,MATCH($B97,Analytica!$B$59:$B$162,0),MATCH(T$15&amp;T$10,Analytica!$F$58:$AY$58&amp;Analytica!$F$51:'Analytica'!$AY$51,0)),"")</f>
        <v>1011.9825087271777</v>
      </c>
      <c r="U97" s="637">
        <f t="array" ref="U97">IFERROR(INDEX(Analytica!$F$59:$AY$132,MATCH($B97,Analytica!$B$59:$B$162,0),MATCH(U$15&amp;U$10,Analytica!$F$58:$AY$58&amp;Analytica!$F$51:'Analytica'!$AY$51,0)),"")</f>
        <v>962.7514695792554</v>
      </c>
      <c r="V97" s="637">
        <f t="array" ref="V97">IFERROR(INDEX(Analytica!$F$59:$AY$132,MATCH($B97,Analytica!$B$59:$B$162,0),MATCH(V$15&amp;V$10,Analytica!$F$58:$AY$58&amp;Analytica!$F$51:'Analytica'!$AY$51,0)),"")</f>
        <v>945.21587798179326</v>
      </c>
      <c r="W97" s="637">
        <f t="array" ref="W97">IFERROR(INDEX(Analytica!$F$59:$AY$132,MATCH($B97,Analytica!$B$59:$B$162,0),MATCH(W$15&amp;W$10,Analytica!$F$58:$AY$58&amp;Analytica!$F$51:'Analytica'!$AY$51,0)),"")</f>
        <v>48.953908859170184</v>
      </c>
      <c r="X97" s="637">
        <f t="array" ref="X97">IFERROR(INDEX(Analytica!$F$59:$AY$132,MATCH($B97,Analytica!$B$59:$B$162,0),MATCH(X$15&amp;X$10,Analytica!$F$58:$AY$58&amp;Analytica!$F$51:'Analytica'!$AY$51,0)),"")</f>
        <v>28.652765792627687</v>
      </c>
      <c r="Y97" s="637">
        <f t="array" ref="Y97">IFERROR(INDEX(Analytica!$F$59:$AY$132,MATCH($B97,Analytica!$B$59:$B$162,0),MATCH(Y$15&amp;Y$10,Analytica!$F$58:$AY$58&amp;Analytica!$F$51:'Analytica'!$AY$51,0)),"")</f>
        <v>25.994289678639895</v>
      </c>
      <c r="Z97" s="637">
        <f t="array" ref="Z97">IFERROR(INDEX(Analytica!$F$59:$AY$132,MATCH($B97,Analytica!$B$59:$B$162,0),MATCH(Z$15&amp;Z$10,Analytica!$F$58:$AY$58&amp;Analytica!$F$51:'Analytica'!$AY$51,0)),"")</f>
        <v>25.520828705508418</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09/21/2023 12:20:17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1813.1077355248217</v>
      </c>
      <c r="R98" s="637">
        <f t="array" ref="R98">IFERROR(INDEX(Analytica!$F$59:$AY$132,MATCH($B98,Analytica!$B$59:$B$162,0),MATCH(R$15&amp;R$10,Analytica!$F$58:$AY$58&amp;Analytica!$F$51:'Analytica'!$AY$51,0)),"")</f>
        <v>1437.1606416999607</v>
      </c>
      <c r="S98" s="637">
        <f t="array" ref="S98">IFERROR(INDEX(Analytica!$F$59:$AY$132,MATCH($B98,Analytica!$B$59:$B$162,0),MATCH(S$15&amp;S$10,Analytica!$F$58:$AY$58&amp;Analytica!$F$51:'Analytica'!$AY$51,0)),"")</f>
        <v>1061.2135478750995</v>
      </c>
      <c r="T98" s="637">
        <f t="array" ref="T98">IFERROR(INDEX(Analytica!$F$59:$AY$132,MATCH($B98,Analytica!$B$59:$B$162,0),MATCH(T$15&amp;T$10,Analytica!$F$58:$AY$58&amp;Analytica!$F$51:'Analytica'!$AY$51,0)),"")</f>
        <v>1011.9825087271777</v>
      </c>
      <c r="U98" s="637">
        <f t="array" ref="U98">IFERROR(INDEX(Analytica!$F$59:$AY$132,MATCH($B98,Analytica!$B$59:$B$162,0),MATCH(U$15&amp;U$10,Analytica!$F$58:$AY$58&amp;Analytica!$F$51:'Analytica'!$AY$51,0)),"")</f>
        <v>962.7514695792554</v>
      </c>
      <c r="V98" s="637">
        <f t="array" ref="V98">IFERROR(INDEX(Analytica!$F$59:$AY$132,MATCH($B98,Analytica!$B$59:$B$162,0),MATCH(V$15&amp;V$10,Analytica!$F$58:$AY$58&amp;Analytica!$F$51:'Analytica'!$AY$51,0)),"")</f>
        <v>945.21587798179326</v>
      </c>
      <c r="W98" s="637">
        <f t="array" ref="W98">IFERROR(INDEX(Analytica!$F$59:$AY$132,MATCH($B98,Analytica!$B$59:$B$162,0),MATCH(W$15&amp;W$10,Analytica!$F$58:$AY$58&amp;Analytica!$F$51:'Analytica'!$AY$51,0)),"")</f>
        <v>48.953908859170184</v>
      </c>
      <c r="X98" s="637">
        <f t="array" ref="X98">IFERROR(INDEX(Analytica!$F$59:$AY$132,MATCH($B98,Analytica!$B$59:$B$162,0),MATCH(X$15&amp;X$10,Analytica!$F$58:$AY$58&amp;Analytica!$F$51:'Analytica'!$AY$51,0)),"")</f>
        <v>28.652765792627687</v>
      </c>
      <c r="Y98" s="637">
        <f t="array" ref="Y98">IFERROR(INDEX(Analytica!$F$59:$AY$132,MATCH($B98,Analytica!$B$59:$B$162,0),MATCH(Y$15&amp;Y$10,Analytica!$F$58:$AY$58&amp;Analytica!$F$51:'Analytica'!$AY$51,0)),"")</f>
        <v>25.994289678639895</v>
      </c>
      <c r="Z98" s="637">
        <f t="array" ref="Z98">IFERROR(INDEX(Analytica!$F$59:$AY$132,MATCH($B98,Analytica!$B$59:$B$162,0),MATCH(Z$15&amp;Z$10,Analytica!$F$58:$AY$58&amp;Analytica!$F$51:'Analytica'!$AY$51,0)),"")</f>
        <v>25.520828705508418</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09/21/2023 12:20:17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2218.354104473884</v>
      </c>
      <c r="T99" s="637">
        <f t="array" ref="T99">IFERROR(INDEX(Analytica!$F$59:$AY$132,MATCH($B99,Analytica!$B$59:$B$162,0),MATCH(T$15&amp;T$10,Analytica!$F$58:$AY$58&amp;Analytica!$F$51:'Analytica'!$AY$51,0)),"")</f>
        <v>2106.6800881784152</v>
      </c>
      <c r="U99" s="637">
        <f t="array" ref="U99">IFERROR(INDEX(Analytica!$F$59:$AY$132,MATCH($B99,Analytica!$B$59:$B$162,0),MATCH(U$15&amp;U$10,Analytica!$F$58:$AY$58&amp;Analytica!$F$51:'Analytica'!$AY$51,0)),"")</f>
        <v>1995.0060718829463</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59.89556082079487</v>
      </c>
      <c r="Y99" s="637">
        <f t="array" ref="Y99">IFERROR(INDEX(Analytica!$F$59:$AY$132,MATCH($B99,Analytica!$B$59:$B$162,0),MATCH(Y$15&amp;Y$10,Analytica!$F$58:$AY$58&amp;Analytica!$F$51:'Analytica'!$AY$51,0)),"")</f>
        <v>53.865163940839551</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09/21/2023 12:20:17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2218.354104473884</v>
      </c>
      <c r="T100" s="637">
        <f t="array" ref="T100">IFERROR(INDEX(Analytica!$F$59:$AY$132,MATCH($B100,Analytica!$B$59:$B$162,0),MATCH(T$15&amp;T$10,Analytica!$F$58:$AY$58&amp;Analytica!$F$51:'Analytica'!$AY$51,0)),"")</f>
        <v>2106.6800881784152</v>
      </c>
      <c r="U100" s="637">
        <f t="array" ref="U100">IFERROR(INDEX(Analytica!$F$59:$AY$132,MATCH($B100,Analytica!$B$59:$B$162,0),MATCH(U$15&amp;U$10,Analytica!$F$58:$AY$58&amp;Analytica!$F$51:'Analytica'!$AY$51,0)),"")</f>
        <v>1995.0060718829463</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59.89556082079487</v>
      </c>
      <c r="Y100" s="637">
        <f t="array" ref="Y100">IFERROR(INDEX(Analytica!$F$59:$AY$132,MATCH($B100,Analytica!$B$59:$B$162,0),MATCH(Y$15&amp;Y$10,Analytica!$F$58:$AY$58&amp;Analytica!$F$51:'Analytica'!$AY$51,0)),"")</f>
        <v>53.865163940839551</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09/21/2023 12:20:17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2218.354104473884</v>
      </c>
      <c r="T101" s="637">
        <f t="array" ref="T101">IFERROR(INDEX(Analytica!$F$59:$AY$132,MATCH($B101,Analytica!$B$59:$B$162,0),MATCH(T$15&amp;T$10,Analytica!$F$58:$AY$58&amp;Analytica!$F$51:'Analytica'!$AY$51,0)),"")</f>
        <v>2106.6800881784152</v>
      </c>
      <c r="U101" s="637">
        <f t="array" ref="U101">IFERROR(INDEX(Analytica!$F$59:$AY$132,MATCH($B101,Analytica!$B$59:$B$162,0),MATCH(U$15&amp;U$10,Analytica!$F$58:$AY$58&amp;Analytica!$F$51:'Analytica'!$AY$51,0)),"")</f>
        <v>1995.0060718829463</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59.89556082079487</v>
      </c>
      <c r="Y101" s="637">
        <f t="array" ref="Y101">IFERROR(INDEX(Analytica!$F$59:$AY$132,MATCH($B101,Analytica!$B$59:$B$162,0),MATCH(Y$15&amp;Y$10,Analytica!$F$58:$AY$58&amp;Analytica!$F$51:'Analytica'!$AY$51,0)),"")</f>
        <v>53.865163940839551</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09/21/2023 12:20:17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09/21/2023 12:20:17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tabSelected="1" workbookViewId="0">
      <selection activeCell="J14" sqref="J14"/>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7.2799982901224289E-2</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B55" workbookViewId="0">
      <selection activeCell="J24" sqref="J24"/>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13715.678991362722</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402494.4371791642</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0.20869200354103357</v>
      </c>
      <c r="Q16" s="131"/>
      <c r="S16" s="150">
        <f>P16/P14</f>
        <v>6.2670271333643711E-7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SUMIF(Analytica!$B$17:$B$41,$I18,Analytica!$J$17:$J$41)</f>
        <v>19511.180861952002</v>
      </c>
      <c r="L18" s="139">
        <f>SUMIF(Analytica!$B$17:$B$41,$I18,Analytica!$V$17:$V$41)</f>
        <v>11.2619098186515</v>
      </c>
      <c r="M18" s="74">
        <f>L18*E$8/100</f>
        <v>4.2907876409062213</v>
      </c>
      <c r="N18" s="137">
        <f>SUMIF(Analytica!$B$17:$B$41,$I18,Analytica!$AI$17:$AI$41)*1000</f>
        <v>439316.08188194199</v>
      </c>
      <c r="O18" s="90">
        <f>N18*J18/1000000000</f>
        <v>8.5715755291626863</v>
      </c>
      <c r="P18" s="136">
        <f>O18*M18*1000</f>
        <v>36778.810343625461</v>
      </c>
      <c r="Q18" s="147">
        <f>P18/$P$15</f>
        <v>9.1377189213807539E-2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SUMIF(Analytica!$B$17:$B$41,$I20,Analytica!$J$17:$J$41)</f>
        <v>16729.5435106636</v>
      </c>
      <c r="L20" s="139">
        <f>SUMIF(Analytica!$B$17:$B$41,$I20,Analytica!$V$17:$V$41)</f>
        <v>7.9055959462827703</v>
      </c>
      <c r="M20" s="74">
        <f>L20*E$8/100</f>
        <v>3.0120320555337354</v>
      </c>
      <c r="N20" s="137">
        <f>SUMIF(Analytica!$B$17:$B$41,$I20,Analytica!$AI$17:$AI$41)*1000</f>
        <v>387586.46835565299</v>
      </c>
      <c r="O20" s="90">
        <f>N20*J20/1000000000</f>
        <v>6.4841446865003363</v>
      </c>
      <c r="P20" s="136">
        <f>O20*M20*1000</f>
        <v>19530.451648457754</v>
      </c>
      <c r="Q20" s="144">
        <f>P20/$P$15</f>
        <v>4.8523531866265457E-2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SUMIF(Analytica!$B$17:$B$41,$I23,Analytica!$J$17:$J$41)</f>
        <v>30532.953139957201</v>
      </c>
      <c r="L23" s="139">
        <f>SUMIF(Analytica!$B$17:$B$41,$I23,Analytica!$V$17:$V$41)</f>
        <v>11.0775109229247</v>
      </c>
      <c r="M23" s="74">
        <f>L23*E$8/100</f>
        <v>4.2205316616343111</v>
      </c>
      <c r="N23" s="137">
        <f>SUMIF(Analytica!$B$17:$B$41,$I23,Analytica!$AI$17:$AI$41)*1000</f>
        <v>69841.5661662536</v>
      </c>
      <c r="O23" s="90">
        <f>N23*J23/1000000000</f>
        <v>2.1324692669754413</v>
      </c>
      <c r="P23" s="136">
        <f>O23*M23*1000</f>
        <v>9000.1540587319596</v>
      </c>
      <c r="Q23" s="144">
        <f>P23/$P$15</f>
        <v>2.2360940245059038E-2</v>
      </c>
      <c r="S23" s="134"/>
      <c r="AD23" s="67"/>
      <c r="AF23" s="122"/>
      <c r="AG23" s="121"/>
      <c r="AL23" s="120"/>
      <c r="AM23" s="119"/>
    </row>
    <row r="24" spans="1:41" x14ac:dyDescent="0.25">
      <c r="B24" s="26" t="s">
        <v>60</v>
      </c>
      <c r="D24" s="146"/>
      <c r="F24" s="145"/>
      <c r="H24" s="136"/>
      <c r="I24" t="s">
        <v>448</v>
      </c>
      <c r="J24" s="137">
        <f>SUMIF(Analytica!$B$17:$B$41,$I24,Analytica!$J$17:$J$41)</f>
        <v>25519.3702773902</v>
      </c>
      <c r="L24" s="139">
        <f>SUMIF(Analytica!$B$17:$B$41,$I24,Analytica!$V$17:$V$41)</f>
        <v>40.788494972334703</v>
      </c>
      <c r="M24" s="74">
        <f>L24*E$8/100</f>
        <v>15.540416584459521</v>
      </c>
      <c r="N24" s="137">
        <f>SUMIF(Analytica!$B$17:$B$41,$I24,Analytica!$AI$17:$AI$41)*1000</f>
        <v>25195.2522652347</v>
      </c>
      <c r="O24" s="90">
        <f>N24*J24/1000000000</f>
        <v>0.6429669717887786</v>
      </c>
      <c r="P24" s="136">
        <f>O24*M24*1000</f>
        <v>9991.9745916460524</v>
      </c>
      <c r="Q24" s="144">
        <f>P24/$P$15</f>
        <v>2.4825124694079385E-2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SUMIF(Analytica!$B$17:$B$41,$I27,Analytica!$J$17:$J$41)</f>
        <v>29561.999562574299</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1.0030192144974721</v>
      </c>
      <c r="P27" s="136">
        <f t="shared" ref="P27:P36" si="5">O27*M27*1000</f>
        <v>7351.7977928021191</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2.5085510554581778</v>
      </c>
      <c r="AF27" s="122"/>
      <c r="AG27" s="121"/>
      <c r="AL27" s="120"/>
      <c r="AM27" s="119"/>
    </row>
    <row r="28" spans="1:41" x14ac:dyDescent="0.25">
      <c r="B28" s="26" t="s">
        <v>442</v>
      </c>
      <c r="H28" s="124"/>
      <c r="I28" t="s">
        <v>441</v>
      </c>
      <c r="J28" s="137">
        <f>SUMIF(Analytica!$B$17:$B$41,$I28,Analytica!$J$17:$J$41)</f>
        <v>52619.682956395503</v>
      </c>
      <c r="K28" s="112"/>
      <c r="L28" s="139">
        <f>SUMIF(Analytica!$B$17:$B$41,$I28,Analytica!$V$17:$V$41)</f>
        <v>22.0039654914689</v>
      </c>
      <c r="M28" s="138">
        <f t="shared" si="3"/>
        <v>8.3835108522496515</v>
      </c>
      <c r="N28" s="137">
        <f>SUMIF(Analytica!$B$17:$B$41,$I28,Analytica!$AI$17:$AI$41)*1000</f>
        <v>62701.905314712101</v>
      </c>
      <c r="O28" s="90">
        <f t="shared" si="4"/>
        <v>3.2993543784220809</v>
      </c>
      <c r="P28" s="136">
        <f t="shared" si="5"/>
        <v>27660.173236918919</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16.520182703280057</v>
      </c>
      <c r="AF28" s="122"/>
      <c r="AG28" s="121"/>
      <c r="AL28" s="120"/>
      <c r="AM28" s="119"/>
    </row>
    <row r="29" spans="1:41" x14ac:dyDescent="0.25">
      <c r="B29" s="26" t="s">
        <v>440</v>
      </c>
      <c r="H29" s="124"/>
      <c r="I29" t="s">
        <v>439</v>
      </c>
      <c r="J29" s="137">
        <f>SUMIF(Analytica!$B$17:$B$41,$I29,Analytica!$J$17:$J$41)</f>
        <v>49633.5682573101</v>
      </c>
      <c r="K29" s="112"/>
      <c r="L29" s="139">
        <f>SUMIF(Analytica!$B$17:$B$41,$I29,Analytica!$V$17:$V$41)</f>
        <v>25.603686211102399</v>
      </c>
      <c r="M29" s="138">
        <f t="shared" si="3"/>
        <v>9.7550044464300143</v>
      </c>
      <c r="N29" s="137">
        <f>SUMIF(Analytica!$B$17:$B$41,$I29,Analytica!$AI$17:$AI$41)*1000</f>
        <v>12056.497449546701</v>
      </c>
      <c r="O29" s="90">
        <f t="shared" si="4"/>
        <v>0.5984069891061613</v>
      </c>
      <c r="P29" s="136">
        <f t="shared" si="5"/>
        <v>5837.4628395054006</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4.7389994637867572</v>
      </c>
      <c r="AF29" s="122"/>
      <c r="AG29" s="121"/>
      <c r="AL29" s="120"/>
      <c r="AM29" s="119"/>
    </row>
    <row r="30" spans="1:41" x14ac:dyDescent="0.25">
      <c r="B30" s="26" t="s">
        <v>438</v>
      </c>
      <c r="H30" s="124"/>
      <c r="I30" t="s">
        <v>437</v>
      </c>
      <c r="J30" s="137">
        <f>SUMIF(Analytica!$B$17:$B$41,$I30,Analytica!$J$17:$J$41)</f>
        <v>54633.576505741999</v>
      </c>
      <c r="K30" s="112"/>
      <c r="L30" s="139">
        <f>SUMIF(Analytica!$B$17:$B$41,$I30,Analytica!$V$17:$V$41)</f>
        <v>27.792076201905399</v>
      </c>
      <c r="M30" s="138">
        <f t="shared" si="3"/>
        <v>10.588781032925958</v>
      </c>
      <c r="N30" s="137">
        <f>SUMIF(Analytica!$B$17:$B$41,$I30,Analytica!$AI$17:$AI$41)*1000</f>
        <v>5454.3032895166198</v>
      </c>
      <c r="O30" s="90">
        <f t="shared" si="4"/>
        <v>0.29798809605332649</v>
      </c>
      <c r="P30" s="136">
        <f t="shared" si="5"/>
        <v>3155.3306995271823</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3.2441770761137696</v>
      </c>
      <c r="AF30" s="122"/>
      <c r="AG30" s="121"/>
      <c r="AL30" s="120"/>
      <c r="AM30" s="119"/>
    </row>
    <row r="31" spans="1:41" x14ac:dyDescent="0.25">
      <c r="B31" s="26" t="s">
        <v>436</v>
      </c>
      <c r="H31" s="124"/>
      <c r="I31" t="s">
        <v>435</v>
      </c>
      <c r="J31" s="137">
        <f>SUMIF(Analytica!$B$17:$B$41,$I31,Analytica!$J$17:$J$41)</f>
        <v>62778.924850520401</v>
      </c>
      <c r="K31" s="112"/>
      <c r="L31" s="139">
        <f>SUMIF(Analytica!$B$17:$B$41,$I31,Analytica!$V$17:$V$41)</f>
        <v>40.292737614575302</v>
      </c>
      <c r="M31" s="138">
        <f t="shared" si="3"/>
        <v>15.35153303115319</v>
      </c>
      <c r="N31" s="137">
        <f>SUMIF(Analytica!$B$17:$B$41,$I31,Analytica!$AI$17:$AI$41)*1000</f>
        <v>106121.40587784999</v>
      </c>
      <c r="O31" s="90">
        <f t="shared" si="4"/>
        <v>6.6621877646371184</v>
      </c>
      <c r="P31" s="136">
        <f t="shared" si="5"/>
        <v>102274.79552857135</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130.05107807184953</v>
      </c>
      <c r="AF31" s="122"/>
      <c r="AG31" s="121"/>
      <c r="AL31" s="120"/>
      <c r="AM31" s="119"/>
    </row>
    <row r="32" spans="1:41" x14ac:dyDescent="0.25">
      <c r="B32" s="26" t="s">
        <v>434</v>
      </c>
      <c r="H32" s="124"/>
      <c r="I32" t="s">
        <v>433</v>
      </c>
      <c r="J32" s="137">
        <f>SUMIF(Analytica!$B$17:$B$41,$I32,Analytica!$J$17:$J$41)</f>
        <v>86037.431296970695</v>
      </c>
      <c r="K32" s="112"/>
      <c r="L32" s="139">
        <f>SUMIF(Analytica!$B$17:$B$41,$I32,Analytica!$V$17:$V$41)</f>
        <v>37.3258316657572</v>
      </c>
      <c r="M32" s="138">
        <f t="shared" si="3"/>
        <v>14.221141864653493</v>
      </c>
      <c r="N32" s="137">
        <f>SUMIF(Analytica!$B$17:$B$41,$I32,Analytica!$AI$17:$AI$41)*1000</f>
        <v>25874.2804975207</v>
      </c>
      <c r="O32" s="90">
        <f t="shared" si="4"/>
        <v>2.2261566306639859</v>
      </c>
      <c r="P32" s="136">
        <f t="shared" si="5"/>
        <v>31658.489257611574</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39.825760684889005</v>
      </c>
      <c r="AF32" s="122"/>
      <c r="AG32" s="121"/>
      <c r="AL32" s="120"/>
      <c r="AM32" s="119"/>
    </row>
    <row r="33" spans="1:39" x14ac:dyDescent="0.25">
      <c r="B33" s="26" t="s">
        <v>432</v>
      </c>
      <c r="H33" s="124"/>
      <c r="I33" t="s">
        <v>431</v>
      </c>
      <c r="J33" s="137">
        <f>SUMIF(Analytica!$B$17:$B$41,$I33,Analytica!$J$17:$J$41)</f>
        <v>108321.14497488301</v>
      </c>
      <c r="K33" s="112"/>
      <c r="L33" s="139">
        <f>SUMIF(Analytica!$B$17:$B$41,$I33,Analytica!$V$17:$V$41)</f>
        <v>37.932288748919603</v>
      </c>
      <c r="M33" s="138">
        <f t="shared" si="3"/>
        <v>14.45220201333837</v>
      </c>
      <c r="N33" s="137">
        <f>SUMIF(Analytica!$B$17:$B$41,$I33,Analytica!$AI$17:$AI$41)*1000</f>
        <v>1128.25320373206</v>
      </c>
      <c r="O33" s="90">
        <f t="shared" si="4"/>
        <v>0.12221367884983668</v>
      </c>
      <c r="P33" s="136">
        <f t="shared" si="5"/>
        <v>1766.2567755310988</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2.2490953086010199</v>
      </c>
      <c r="AF33" s="122"/>
      <c r="AG33" s="121"/>
      <c r="AL33" s="120"/>
      <c r="AM33" s="119"/>
    </row>
    <row r="34" spans="1:39" x14ac:dyDescent="0.25">
      <c r="B34" s="26" t="s">
        <v>430</v>
      </c>
      <c r="H34" s="124"/>
      <c r="I34" t="s">
        <v>429</v>
      </c>
      <c r="J34" s="137">
        <f>SUMIF(Analytica!$B$17:$B$41,$I34,Analytica!$J$17:$J$41)</f>
        <v>69373.326398147998</v>
      </c>
      <c r="K34" s="112"/>
      <c r="L34" s="139">
        <f>SUMIF(Analytica!$B$17:$B$41,$I34,Analytica!$V$17:$V$41)</f>
        <v>48.273056219283099</v>
      </c>
      <c r="M34" s="138">
        <f t="shared" si="3"/>
        <v>18.392034419546864</v>
      </c>
      <c r="N34" s="137">
        <f>SUMIF(Analytica!$B$17:$B$41,$I34,Analytica!$AI$17:$AI$41)*1000</f>
        <v>423.96796687300599</v>
      </c>
      <c r="O34" s="90">
        <f t="shared" si="4"/>
        <v>2.9412068148240243E-2</v>
      </c>
      <c r="P34" s="136">
        <f t="shared" si="5"/>
        <v>540.94776973249247</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0.64433067785501541</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SUMIF(Analytica!$B$17:$B$41,$I35,Analytica!$J$17:$J$41)</f>
        <v>28672.905293975698</v>
      </c>
      <c r="K35" s="112"/>
      <c r="L35" s="139">
        <f>SUMIF(Analytica!$B$17:$B$41,$I35,Analytica!$V$17:$V$41)</f>
        <v>15.4098612224773</v>
      </c>
      <c r="M35" s="138">
        <f t="shared" si="3"/>
        <v>5.8711571257638511</v>
      </c>
      <c r="N35" s="137">
        <f>SUMIF(Analytica!$B$17:$B$41,$I35,Analytica!$AI$17:$AI$41)*1000</f>
        <v>126227.705550552</v>
      </c>
      <c r="O35" s="90">
        <f t="shared" si="4"/>
        <v>3.619315046726828</v>
      </c>
      <c r="P35" s="136">
        <f t="shared" si="5"/>
        <v>21249.567326974542</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5.3714254608472851</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SUMIF(Analytica!$B$17:$B$41,$I36,Analytica!$J$17:$J$41)</f>
        <v>24428.944976716801</v>
      </c>
      <c r="K36" s="112"/>
      <c r="L36" s="139">
        <f>SUMIF(Analytica!$B$17:$B$41,$I36,Analytica!$V$17:$V$41)</f>
        <v>11.124053535325499</v>
      </c>
      <c r="M36" s="138">
        <f t="shared" si="3"/>
        <v>4.2382643969590159</v>
      </c>
      <c r="N36" s="137">
        <f>SUMIF(Analytica!$B$17:$B$41,$I36,Analytica!$AI$17:$AI$41)*1000</f>
        <v>1151530.20025537</v>
      </c>
      <c r="O36" s="90">
        <f t="shared" si="4"/>
        <v>28.130667901066111</v>
      </c>
      <c r="P36" s="136">
        <f t="shared" si="5"/>
        <v>119225.2082277663</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11.191504917760142</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16.562930378607426</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353.23831111832794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0.1787065540145828</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0.6429669717887786</v>
      </c>
      <c r="I71" s="67">
        <f>H71/G71</f>
        <v>25.519370277390202</v>
      </c>
      <c r="K71" s="98">
        <v>25</v>
      </c>
      <c r="L71" s="67">
        <f>K71*H71</f>
        <v>16.074174294719466</v>
      </c>
      <c r="M71" s="100">
        <f>L71/$L$75</f>
        <v>0.12781452974087851</v>
      </c>
      <c r="N71" s="63">
        <f>L71/L$81</f>
        <v>5.9530575562900638E-2</v>
      </c>
      <c r="O71" s="63">
        <v>0.1</v>
      </c>
    </row>
    <row r="72" spans="6:15" x14ac:dyDescent="0.25">
      <c r="F72" t="s">
        <v>400</v>
      </c>
      <c r="G72" s="67">
        <f>(F23+N23)/1000000</f>
        <v>0.32372656979486564</v>
      </c>
      <c r="H72" s="67">
        <f>G23+O23</f>
        <v>7.2130505455454896</v>
      </c>
      <c r="I72" s="67">
        <f>H72/G72</f>
        <v>22.281305331583226</v>
      </c>
      <c r="K72" s="98">
        <v>14</v>
      </c>
      <c r="L72" s="67">
        <f>K72*H72</f>
        <v>100.98270763763685</v>
      </c>
      <c r="M72" s="100">
        <f>L72/$L$75</f>
        <v>0.80296860367535494</v>
      </c>
      <c r="N72" s="63">
        <f>L72/L$81</f>
        <v>0.3739886477119701</v>
      </c>
      <c r="O72" s="63">
        <v>0.4</v>
      </c>
    </row>
    <row r="73" spans="6:15" x14ac:dyDescent="0.25">
      <c r="F73" t="s">
        <v>399</v>
      </c>
      <c r="G73" s="67"/>
      <c r="L73" s="67">
        <f>TRP!Y79</f>
        <v>8.7048317578401644</v>
      </c>
      <c r="M73" s="102">
        <f>L73/$L$75</f>
        <v>6.921686658376644E-2</v>
      </c>
      <c r="N73" s="63">
        <f>L73/L$81</f>
        <v>3.2238274590109202E-2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125.76171369019649</v>
      </c>
    </row>
    <row r="76" spans="6:15" x14ac:dyDescent="0.25">
      <c r="F76" s="69" t="s">
        <v>396</v>
      </c>
      <c r="G76" s="67"/>
    </row>
    <row r="77" spans="6:15" x14ac:dyDescent="0.25">
      <c r="F77" t="s">
        <v>395</v>
      </c>
      <c r="G77" s="67">
        <f>(F20+N20+F21)/1000000</f>
        <v>6.2938373501869744</v>
      </c>
      <c r="H77" s="67">
        <f>G20+O20</f>
        <v>81.069535078476804</v>
      </c>
      <c r="I77" s="67">
        <f>H77/G77</f>
        <v>12.880780129481488</v>
      </c>
      <c r="K77" s="96">
        <v>1.4</v>
      </c>
      <c r="L77" s="67">
        <f>K77*H77</f>
        <v>113.49734910986751</v>
      </c>
      <c r="M77" s="63">
        <f>L77/$L$80</f>
        <v>0.78678974499306031</v>
      </c>
      <c r="N77" s="63">
        <f>SUM(L77:L79)/L81</f>
        <v>0.53424250213502</v>
      </c>
      <c r="O77" s="63">
        <v>0.4</v>
      </c>
    </row>
    <row r="78" spans="6:15" x14ac:dyDescent="0.25">
      <c r="F78" t="s">
        <v>394</v>
      </c>
      <c r="G78" s="67">
        <f>(F18+N18)/1000000</f>
        <v>0.91555998202632904</v>
      </c>
      <c r="H78" s="67">
        <f>G18+O18</f>
        <v>17.738272600772319</v>
      </c>
      <c r="I78" s="67">
        <f>H78/G78</f>
        <v>19.374233200443893</v>
      </c>
      <c r="K78" s="96">
        <v>1.4</v>
      </c>
      <c r="L78" s="67">
        <f>K78*H78</f>
        <v>24.833581641081246</v>
      </c>
      <c r="M78" s="63">
        <f>L78/$L$80</f>
        <v>0.1721521032860136</v>
      </c>
    </row>
    <row r="79" spans="6:15" x14ac:dyDescent="0.25">
      <c r="F79" t="s">
        <v>393</v>
      </c>
      <c r="G79" s="67">
        <f>F22/1000000</f>
        <v>0.53277109028187397</v>
      </c>
      <c r="H79" s="67">
        <f>G22</f>
        <v>5.9227912022632543</v>
      </c>
      <c r="I79" s="67">
        <f>H79/G79</f>
        <v>11.1169530597647</v>
      </c>
      <c r="K79" s="96">
        <v>1</v>
      </c>
      <c r="L79" s="67">
        <f>K79*H79</f>
        <v>5.9227912022632543</v>
      </c>
      <c r="M79" s="63">
        <f>L79/$L$80</f>
        <v>4.1058151720926007E-2</v>
      </c>
    </row>
    <row r="80" spans="6:15" x14ac:dyDescent="0.25">
      <c r="G80" s="95">
        <f>SUM(G77:G79)</f>
        <v>7.742168422495177</v>
      </c>
      <c r="H80" s="95">
        <f>SUM(H77:H79)</f>
        <v>104.73059888151238</v>
      </c>
      <c r="I80" s="67">
        <f>SUMPRODUCT(G77:G79,I77:I79)/G80</f>
        <v>13.527295347542877</v>
      </c>
      <c r="L80" s="95">
        <f>SUM(L77:L79)</f>
        <v>144.25372195321202</v>
      </c>
    </row>
    <row r="81" spans="5:24" x14ac:dyDescent="0.25">
      <c r="L81" s="67">
        <f>L80+L75</f>
        <v>270.01543564340852</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125.76171369019649</v>
      </c>
      <c r="N106" s="70">
        <f>L106/M106-1</f>
        <v>0.12655057840037887</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144.25372195321202</v>
      </c>
      <c r="N108" s="70">
        <f>L108/M108-1</f>
        <v>-6.9225754224450098E-2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138.33093075094877</v>
      </c>
      <c r="N112" s="70">
        <f>L112/M112-1</f>
        <v>5.9460350555431418E-2</v>
      </c>
      <c r="X112" s="63"/>
      <c r="Y112" s="63"/>
    </row>
    <row r="113" spans="1:33" x14ac:dyDescent="0.25">
      <c r="F113" s="69" t="s">
        <v>337</v>
      </c>
      <c r="G113" t="s">
        <v>333</v>
      </c>
      <c r="H113" s="71">
        <v>1.4</v>
      </c>
      <c r="I113" s="71">
        <v>1.4</v>
      </c>
      <c r="J113" s="71">
        <v>1.4</v>
      </c>
      <c r="K113" s="77">
        <v>1.4</v>
      </c>
      <c r="L113" s="74">
        <f>SUMPRODUCT(H112:K112,H113:K113)/SUM(H112:K112)</f>
        <v>1.4</v>
      </c>
      <c r="M113" s="67">
        <f>M108/M117</f>
        <v>1.377378946495039</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98.807807679249123</v>
      </c>
      <c r="N114" s="70">
        <f>L114/M114-1</f>
        <v>8.6912859411953924E-2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104.73059888151238</v>
      </c>
      <c r="N117" s="70">
        <f>L117/M117-1</f>
        <v>7.6856559780531519E-2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13.527295347542877</v>
      </c>
      <c r="N118" s="70">
        <f>L118/M118-1</f>
        <v>-4.9186307271316232E-2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0.32332488249883407</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rgb="FFFF0066"/>
  </sheetPr>
  <dimension ref="A1:BY233"/>
  <sheetViews>
    <sheetView topLeftCell="A15" zoomScale="80" zoomScaleNormal="80" workbookViewId="0">
      <selection activeCell="W17" sqref="W17"/>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data-proc2023'!G102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798">
        <f>IF(eMode,$Z$57,$Y$57)</f>
        <v>1.4999999999999999E-2</v>
      </c>
      <c r="U57" s="197">
        <f>T57</f>
        <v>1.4999999999999999E-2</v>
      </c>
      <c r="V57" s="197">
        <f>U57</f>
        <v>1.4999999999999999E-2</v>
      </c>
      <c r="W57" s="197">
        <f>V57</f>
        <v>1.4999999999999999E-2</v>
      </c>
      <c r="X57" s="197">
        <f>W57</f>
        <v>1.4999999999999999E-2</v>
      </c>
      <c r="Y57" s="799">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0">
        <v>0.1</v>
      </c>
      <c r="AU57" s="197"/>
      <c r="AV57" s="197"/>
      <c r="AW57" s="801"/>
      <c r="AX57" s="801"/>
      <c r="AY57" s="801"/>
      <c r="BD57" s="61" t="s">
        <v>571</v>
      </c>
    </row>
    <row r="58" spans="1:69" x14ac:dyDescent="0.25">
      <c r="F58" s="802" t="str">
        <f>F16</f>
        <v>CapAct</v>
      </c>
      <c r="G58" s="803">
        <f>H16</f>
        <v>2012</v>
      </c>
      <c r="H58" s="803">
        <v>0</v>
      </c>
      <c r="I58" s="803">
        <v>5</v>
      </c>
      <c r="J58" s="803">
        <v>10</v>
      </c>
      <c r="K58" s="803">
        <v>30</v>
      </c>
      <c r="L58" s="803">
        <v>50</v>
      </c>
      <c r="M58" s="803">
        <v>0</v>
      </c>
      <c r="N58" s="803">
        <v>5</v>
      </c>
      <c r="O58" s="803">
        <v>10</v>
      </c>
      <c r="P58" s="803">
        <v>30</v>
      </c>
      <c r="Q58" s="803">
        <v>50</v>
      </c>
      <c r="R58" s="803"/>
      <c r="S58" s="803">
        <v>2006</v>
      </c>
      <c r="T58" s="804">
        <v>2012</v>
      </c>
      <c r="U58" s="803">
        <v>2020</v>
      </c>
      <c r="V58" s="803">
        <v>2030</v>
      </c>
      <c r="W58" s="803">
        <v>2040</v>
      </c>
      <c r="X58" s="803">
        <v>2050</v>
      </c>
      <c r="Y58" s="803"/>
      <c r="Z58" s="803">
        <f>S58</f>
        <v>2006</v>
      </c>
      <c r="AA58" s="803">
        <v>2017</v>
      </c>
      <c r="AB58" s="803">
        <f>U58</f>
        <v>2020</v>
      </c>
      <c r="AC58" s="803">
        <f>V58</f>
        <v>2030</v>
      </c>
      <c r="AD58" s="803">
        <f>W58</f>
        <v>2040</v>
      </c>
      <c r="AE58" s="803">
        <f>X58</f>
        <v>2050</v>
      </c>
      <c r="AF58" s="803"/>
      <c r="AG58" s="803"/>
      <c r="AH58" s="803" t="s">
        <v>495</v>
      </c>
      <c r="AI58" s="803" t="s">
        <v>570</v>
      </c>
      <c r="AJ58" s="803">
        <v>2006</v>
      </c>
      <c r="AK58" s="803">
        <v>2012</v>
      </c>
      <c r="AL58" s="803">
        <v>2020</v>
      </c>
      <c r="AM58" s="803">
        <v>2025</v>
      </c>
      <c r="AN58" s="803">
        <v>2030</v>
      </c>
      <c r="AO58" s="803">
        <v>2035</v>
      </c>
      <c r="AP58" s="803">
        <v>2040</v>
      </c>
      <c r="AQ58" s="803">
        <v>2050</v>
      </c>
      <c r="AR58" s="803"/>
      <c r="AS58" s="803"/>
      <c r="AT58" s="803" t="s">
        <v>353</v>
      </c>
      <c r="AU58" s="803">
        <v>2012</v>
      </c>
      <c r="AV58" s="803">
        <v>2020</v>
      </c>
      <c r="AW58" s="803">
        <v>2030</v>
      </c>
      <c r="AX58" s="803">
        <v>2040</v>
      </c>
      <c r="AY58" s="805">
        <v>2050</v>
      </c>
    </row>
    <row r="59" spans="1:69" x14ac:dyDescent="0.25">
      <c r="A59" s="61" t="str">
        <f t="shared" ref="A59:A90" si="31">RIGHT(D59,3)&amp;C59</f>
        <v>BUSODS</v>
      </c>
      <c r="B59" s="61" t="str">
        <f>D59&amp;C59&amp;"-N"</f>
        <v>TPPUBUSODS-N</v>
      </c>
      <c r="C59" s="61" t="s">
        <v>511</v>
      </c>
      <c r="D59" s="61" t="s">
        <v>565</v>
      </c>
      <c r="E59" s="61" t="s">
        <v>569</v>
      </c>
      <c r="F59" s="806">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61">
        <v>31.22</v>
      </c>
      <c r="T59" s="807">
        <f>W17</f>
        <v>40.788494972334703</v>
      </c>
      <c r="U59" s="187">
        <f>T59/((1+U$53)^(U$58-T$58))</f>
        <v>38.421758893352582</v>
      </c>
      <c r="V59" s="187">
        <f>U59/((1+V$53)^(V$58-U$58))</f>
        <v>35.655513403447067</v>
      </c>
      <c r="W59" s="187">
        <f>V59/((1+W$53)^(W$58-V$58))</f>
        <v>33.088428866366812</v>
      </c>
      <c r="X59" s="187">
        <f>W59/((1+X$53)^(X$58-W$58))</f>
        <v>30.70616632149715</v>
      </c>
      <c r="Y59" s="187"/>
      <c r="Z59" s="808">
        <f>(1/S59*100)/DieselLHV</f>
        <v>8.749755228366396E-2</v>
      </c>
      <c r="AA59" s="808">
        <f>1/SUMIFS('Vehicle data-proc2023'!AL$20:AL$111,'Vehicle data-proc2023'!$N$20:$N$111,Analytica!$C59,'Vehicle data-proc2023'!$Q$20:$Q$111,RIGHT(Analytica!$D59,3))</f>
        <v>6.4348339348895098E-2</v>
      </c>
      <c r="AB59" s="808">
        <f>1/SUMIFS('Vehicle data-proc2023'!AM$20:AM$111,'Vehicle data-proc2023'!$N$20:$N$111,Analytica!$C59,'Vehicle data-proc2023'!$Q$20:$Q$111,RIGHT(Analytica!$D59,3))</f>
        <v>6.5323297732971908E-2</v>
      </c>
      <c r="AC59" s="808">
        <f>1/SUMIFS('Vehicle data-proc2023'!AN$20:AN$111,'Vehicle data-proc2023'!$N$20:$N$111,Analytica!$C59,'Vehicle data-proc2023'!$Q$20:$Q$111,RIGHT(Analytica!$D59,3))</f>
        <v>7.043085277768743E-2</v>
      </c>
      <c r="AD59" s="808">
        <f>1/SUMIFS('Vehicle data-proc2023'!AO$20:AO$111,'Vehicle data-proc2023'!$N$20:$N$111,Analytica!$C59,'Vehicle data-proc2023'!$Q$20:$Q$111,RIGHT(Analytica!$D59,3))</f>
        <v>7.7877320574937056E-2</v>
      </c>
      <c r="AE59" s="808">
        <f>1/SUMIFS('Vehicle data-proc2023'!AP$20:AP$111,'Vehicle data-proc2023'!$N$20:$N$111,Analytica!$C59,'Vehicle data-proc2023'!$Q$20:$Q$111,RIGHT(Analytica!$D59,3))</f>
        <v>8.6111083718879447E-2</v>
      </c>
      <c r="AF59" s="808"/>
      <c r="AH59" s="80">
        <v>306.87549999999999</v>
      </c>
      <c r="AI59" s="80">
        <v>636.66302862985685</v>
      </c>
      <c r="AJ59" s="80"/>
      <c r="AK59" s="809">
        <f>SUMIFS('Vehicle data-proc2023'!AD$20:AD$111,'Vehicle data-proc2023'!$N$20:$N$111,Analytica!$C59,'Vehicle data-proc2023'!$Q$20:$Q$111,RIGHT(Analytica!$D59,3))/1000</f>
        <v>2374.3503925985524</v>
      </c>
      <c r="AL59" s="809">
        <f>SUMIFS('Vehicle data-proc2023'!AE$20:AE$111,'Vehicle data-proc2023'!$N$20:$N$111,Analytica!$C59,'Vehicle data-proc2023'!$Q$20:$Q$111,RIGHT(Analytica!$D59,3))/1000</f>
        <v>2567.1258296431106</v>
      </c>
      <c r="AM59" s="809">
        <f>SUMIFS('Vehicle data-proc2023'!AF$20:AF$111,'Vehicle data-proc2023'!$N$20:$N$111,Analytica!$C59,'Vehicle data-proc2023'!$Q$20:$Q$111,RIGHT(Analytica!$D59,3))/1000</f>
        <v>2615.0579469287945</v>
      </c>
      <c r="AN59" s="809">
        <f>SUMIFS('Vehicle data-proc2023'!AG$20:AG$111,'Vehicle data-proc2023'!$N$20:$N$111,Analytica!$C59,'Vehicle data-proc2023'!$Q$20:$Q$111,RIGHT(Analytica!$D59,3))/1000</f>
        <v>2662.9900642144776</v>
      </c>
      <c r="AO59" s="809">
        <f>SUMIFS('Vehicle data-proc2023'!AH$20:AH$111,'Vehicle data-proc2023'!$N$20:$N$111,Analytica!$C59,'Vehicle data-proc2023'!$Q$20:$Q$111,RIGHT(Analytica!$D59,3))/1000</f>
        <v>2693.807548805125</v>
      </c>
      <c r="AP59" s="809">
        <f>SUMIFS('Vehicle data-proc2023'!AI$20:AI$111,'Vehicle data-proc2023'!$N$20:$N$111,Analytica!$C59,'Vehicle data-proc2023'!$Q$20:$Q$111,RIGHT(Analytica!$D59,3))/1000</f>
        <v>2724.6250333957719</v>
      </c>
      <c r="AQ59" s="809">
        <f>SUMIFS('Vehicle data-proc2023'!AJ$20:AJ$111,'Vehicle data-proc2023'!$N$20:$N$111,Analytica!$C59,'Vehicle data-proc2023'!$Q$20:$Q$111,RIGHT(Analytica!$D59,3))/1000</f>
        <v>2794.9861891357077</v>
      </c>
      <c r="AT59" s="810">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11">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06">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61">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Z60" s="808">
        <f>(1/S60*100)/DieselLHV</f>
        <v>9.8339220792398485E-2</v>
      </c>
      <c r="AA60" s="808">
        <f>1/SUMIFS('Vehicle data-proc2023'!AL$20:AL$111,'Vehicle data-proc2023'!$N$20:$N$111,Analytica!$C60,'Vehicle data-proc2023'!$Q$20:$Q$111,RIGHT(Analytica!$D60,3))</f>
        <v>5.5955077694691387E-2</v>
      </c>
      <c r="AB60" s="808">
        <f>1/SUMIFS('Vehicle data-proc2023'!AM$20:AM$111,'Vehicle data-proc2023'!$N$20:$N$111,Analytica!$C60,'Vehicle data-proc2023'!$Q$20:$Q$111,RIGHT(Analytica!$D60,3))</f>
        <v>5.6802867593888626E-2</v>
      </c>
      <c r="AC60" s="808">
        <f>1/SUMIFS('Vehicle data-proc2023'!AN$20:AN$111,'Vehicle data-proc2023'!$N$20:$N$111,Analytica!$C60,'Vehicle data-proc2023'!$Q$20:$Q$111,RIGHT(Analytica!$D60,3))</f>
        <v>6.1244219806684722E-2</v>
      </c>
      <c r="AD60" s="808">
        <f>1/SUMIFS('Vehicle data-proc2023'!AO$20:AO$111,'Vehicle data-proc2023'!$N$20:$N$111,Analytica!$C60,'Vehicle data-proc2023'!$Q$20:$Q$111,RIGHT(Analytica!$D60,3))</f>
        <v>6.7719409195597449E-2</v>
      </c>
      <c r="AE60" s="808">
        <f>1/SUMIFS('Vehicle data-proc2023'!AP$20:AP$111,'Vehicle data-proc2023'!$N$20:$N$111,Analytica!$C60,'Vehicle data-proc2023'!$Q$20:$Q$111,RIGHT(Analytica!$D60,3))</f>
        <v>7.4879203233808214E-2</v>
      </c>
      <c r="AF60" s="808"/>
      <c r="AG60" s="61">
        <v>1</v>
      </c>
      <c r="AH60" s="80">
        <f>AH59*(1+$AR$57)</f>
        <v>337.56305000000003</v>
      </c>
      <c r="AI60" s="80">
        <f>AI59*(1+$AR$57)</f>
        <v>700.32933149284258</v>
      </c>
      <c r="AJ60" s="80"/>
      <c r="AK60" s="809">
        <f>SUMIFS('Vehicle data-proc2023'!AD$20:AD$111,'Vehicle data-proc2023'!$N$20:$N$111,Analytica!$C60,'Vehicle data-proc2023'!$Q$20:$Q$111,RIGHT(Analytica!$D60,3))/1000</f>
        <v>2642.7004378444703</v>
      </c>
      <c r="AL60" s="809">
        <f>SUMIFS('Vehicle data-proc2023'!AE$20:AE$111,'Vehicle data-proc2023'!$N$20:$N$111,Analytica!$C60,'Vehicle data-proc2023'!$Q$20:$Q$111,RIGHT(Analytica!$D60,3))/1000</f>
        <v>2721.9025560658015</v>
      </c>
      <c r="AM60" s="809">
        <f>SUMIFS('Vehicle data-proc2023'!AF$20:AF$111,'Vehicle data-proc2023'!$N$20:$N$111,Analytica!$C60,'Vehicle data-proc2023'!$Q$20:$Q$111,RIGHT(Analytica!$D60,3))/1000</f>
        <v>2750.5027102799208</v>
      </c>
      <c r="AN60" s="809">
        <f>SUMIFS('Vehicle data-proc2023'!AG$20:AG$111,'Vehicle data-proc2023'!$N$20:$N$111,Analytica!$C60,'Vehicle data-proc2023'!$Q$20:$Q$111,RIGHT(Analytica!$D60,3))/1000</f>
        <v>2779.1028644940416</v>
      </c>
      <c r="AO60" s="809">
        <f>SUMIFS('Vehicle data-proc2023'!AH$20:AH$111,'Vehicle data-proc2023'!$N$20:$N$111,Analytica!$C60,'Vehicle data-proc2023'!$Q$20:$Q$111,RIGHT(Analytica!$D60,3))/1000</f>
        <v>2802.2752782397774</v>
      </c>
      <c r="AP60" s="809">
        <f>SUMIFS('Vehicle data-proc2023'!AI$20:AI$111,'Vehicle data-proc2023'!$N$20:$N$111,Analytica!$C60,'Vehicle data-proc2023'!$Q$20:$Q$111,RIGHT(Analytica!$D60,3))/1000</f>
        <v>2825.4476919855119</v>
      </c>
      <c r="AQ60" s="809">
        <f>SUMIFS('Vehicle data-proc2023'!AJ$20:AJ$111,'Vehicle data-proc2023'!$N$20:$N$111,Analytica!$C60,'Vehicle data-proc2023'!$Q$20:$Q$111,RIGHT(Analytica!$D60,3))/1000</f>
        <v>2885.0615408688536</v>
      </c>
      <c r="AR60" s="80"/>
      <c r="AT60" s="810">
        <f t="shared" si="39"/>
        <v>2.7E-2</v>
      </c>
      <c r="AU60" s="80">
        <f t="shared" si="40"/>
        <v>71.352911821800703</v>
      </c>
      <c r="AV60" s="80">
        <f t="shared" si="41"/>
        <v>73.491369013776634</v>
      </c>
      <c r="AW60" s="80">
        <f t="shared" si="42"/>
        <v>75.035777341339127</v>
      </c>
      <c r="AX60" s="80">
        <f t="shared" si="43"/>
        <v>76.287087683608817</v>
      </c>
      <c r="AY60" s="811">
        <f t="shared" si="44"/>
        <v>77.896661603459052</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06">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Z61" s="808">
        <f>(1/S61*100)/DieselLHV</f>
        <v>0.19176148054517705</v>
      </c>
      <c r="AA61" s="808">
        <f>1/SUMIFS('Vehicle data-proc2023'!AL$20:AL$111,'Vehicle data-proc2023'!$N$20:$N$111,Analytica!$C61,'Vehicle data-proc2023'!$Q$20:$Q$111,RIGHT(Analytica!$D61,3))</f>
        <v>0.13575248869333464</v>
      </c>
      <c r="AB61" s="808">
        <f>1/SUMIFS('Vehicle data-proc2023'!AM$20:AM$111,'Vehicle data-proc2023'!$N$20:$N$111,Analytica!$C61,'Vehicle data-proc2023'!$Q$20:$Q$111,RIGHT(Analytica!$D61,3))</f>
        <v>0.13780930986929765</v>
      </c>
      <c r="AC61" s="808">
        <f>1/SUMIFS('Vehicle data-proc2023'!AN$20:AN$111,'Vehicle data-proc2023'!$N$20:$N$111,Analytica!$C61,'Vehicle data-proc2023'!$Q$20:$Q$111,RIGHT(Analytica!$D61,3))</f>
        <v>0.14858446452711918</v>
      </c>
      <c r="AD61" s="808">
        <f>1/SUMIFS('Vehicle data-proc2023'!AO$20:AO$111,'Vehicle data-proc2023'!$N$20:$N$111,Analytica!$C61,'Vehicle data-proc2023'!$Q$20:$Q$111,RIGHT(Analytica!$D61,3))</f>
        <v>0.16429390700348931</v>
      </c>
      <c r="AE61" s="808">
        <f>1/SUMIFS('Vehicle data-proc2023'!AP$20:AP$111,'Vehicle data-proc2023'!$N$20:$N$111,Analytica!$C61,'Vehicle data-proc2023'!$Q$20:$Q$111,RIGHT(Analytica!$D61,3))</f>
        <v>0.18166426728646726</v>
      </c>
      <c r="AF61" s="808"/>
      <c r="AG61" s="61">
        <v>1</v>
      </c>
      <c r="AH61" s="80"/>
      <c r="AI61" s="80"/>
      <c r="AJ61" s="80"/>
      <c r="AK61" s="809">
        <f>SUMIFS('Vehicle data-proc2023'!AD$20:AD$111,'Vehicle data-proc2023'!$N$20:$N$111,Analytica!$C61,'Vehicle data-proc2023'!$Q$20:$Q$111,RIGHT(Analytica!$D61,3))/1000</f>
        <v>6296.317327035631</v>
      </c>
      <c r="AL61" s="809">
        <f>SUMIFS('Vehicle data-proc2023'!AE$20:AE$111,'Vehicle data-proc2023'!$N$20:$N$111,Analytica!$C61,'Vehicle data-proc2023'!$Q$20:$Q$111,RIGHT(Analytica!$D61,3))/1000</f>
        <v>3689.5596792311267</v>
      </c>
      <c r="AM61" s="809">
        <f>SUMIFS('Vehicle data-proc2023'!AF$20:AF$111,'Vehicle data-proc2023'!$N$20:$N$111,Analytica!$C61,'Vehicle data-proc2023'!$Q$20:$Q$111,RIGHT(Analytica!$D61,3))/1000</f>
        <v>3288.7659792292047</v>
      </c>
      <c r="AN61" s="809">
        <f>SUMIFS('Vehicle data-proc2023'!AG$20:AG$111,'Vehicle data-proc2023'!$N$20:$N$111,Analytica!$C61,'Vehicle data-proc2023'!$Q$20:$Q$111,RIGHT(Analytica!$D61,3))/1000</f>
        <v>2887.9722792272814</v>
      </c>
      <c r="AO61" s="809">
        <f>SUMIFS('Vehicle data-proc2023'!AH$20:AH$111,'Vehicle data-proc2023'!$N$20:$N$111,Analytica!$C61,'Vehicle data-proc2023'!$Q$20:$Q$111,RIGHT(Analytica!$D61,3))/1000</f>
        <v>2842.5151832835504</v>
      </c>
      <c r="AP61" s="809">
        <f>SUMIFS('Vehicle data-proc2023'!AI$20:AI$111,'Vehicle data-proc2023'!$N$20:$N$111,Analytica!$C61,'Vehicle data-proc2023'!$Q$20:$Q$111,RIGHT(Analytica!$D61,3))/1000</f>
        <v>2797.058087339818</v>
      </c>
      <c r="AQ61" s="809">
        <f>SUMIFS('Vehicle data-proc2023'!AJ$20:AJ$111,'Vehicle data-proc2023'!$N$20:$N$111,Analytica!$C61,'Vehicle data-proc2023'!$Q$20:$Q$111,RIGHT(Analytica!$D61,3))/1000</f>
        <v>2794.9861891357077</v>
      </c>
      <c r="AR61" s="80"/>
      <c r="AT61" s="810">
        <f t="shared" si="39"/>
        <v>2.7E-2</v>
      </c>
      <c r="AU61" s="80">
        <f t="shared" si="40"/>
        <v>170.00056782996202</v>
      </c>
      <c r="AV61" s="80">
        <f t="shared" si="41"/>
        <v>99.618111339240414</v>
      </c>
      <c r="AW61" s="80">
        <f t="shared" si="42"/>
        <v>77.975251539136593</v>
      </c>
      <c r="AX61" s="80">
        <f t="shared" si="43"/>
        <v>75.520568358175083</v>
      </c>
      <c r="AY61" s="811">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06">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Z62" s="187">
        <f>(1/S62*100)/CV.LHV.E85</f>
        <v>8.6828034906075102E-2</v>
      </c>
      <c r="AA62" s="808">
        <f>1/SUMIFS('Vehicle data-proc2023'!AL$20:AL$111,'Vehicle data-proc2023'!$N$20:$N$111,Analytica!$C62,'Vehicle data-proc2023'!$Q$20:$Q$111,RIGHT(Analytica!$D62,3))</f>
        <v>6.4348339348895098E-2</v>
      </c>
      <c r="AB62" s="808">
        <f>1/SUMIFS('Vehicle data-proc2023'!AM$20:AM$111,'Vehicle data-proc2023'!$N$20:$N$111,Analytica!$C62,'Vehicle data-proc2023'!$Q$20:$Q$111,RIGHT(Analytica!$D62,3))</f>
        <v>6.5323297732971908E-2</v>
      </c>
      <c r="AC62" s="808">
        <f>1/SUMIFS('Vehicle data-proc2023'!AN$20:AN$111,'Vehicle data-proc2023'!$N$20:$N$111,Analytica!$C62,'Vehicle data-proc2023'!$Q$20:$Q$111,RIGHT(Analytica!$D62,3))</f>
        <v>7.043085277768743E-2</v>
      </c>
      <c r="AD62" s="808">
        <f>1/SUMIFS('Vehicle data-proc2023'!AO$20:AO$111,'Vehicle data-proc2023'!$N$20:$N$111,Analytica!$C62,'Vehicle data-proc2023'!$Q$20:$Q$111,RIGHT(Analytica!$D62,3))</f>
        <v>7.7877320574937056E-2</v>
      </c>
      <c r="AE62" s="808">
        <f>1/SUMIFS('Vehicle data-proc2023'!AP$20:AP$111,'Vehicle data-proc2023'!$N$20:$N$111,Analytica!$C62,'Vehicle data-proc2023'!$Q$20:$Q$111,RIGHT(Analytica!$D62,3))</f>
        <v>8.6111083718879447E-2</v>
      </c>
      <c r="AF62" s="808"/>
      <c r="AG62" s="61">
        <v>1</v>
      </c>
      <c r="AH62" s="80"/>
      <c r="AI62" s="80"/>
      <c r="AJ62" s="80"/>
      <c r="AK62" s="809">
        <f>SUMIFS('Vehicle data-proc2023'!AD$20:AD$111,'Vehicle data-proc2023'!$N$20:$N$111,Analytica!$C62,'Vehicle data-proc2023'!$Q$20:$Q$111,RIGHT(Analytica!$D62,3))/1000</f>
        <v>2374.3503925985524</v>
      </c>
      <c r="AL62" s="809">
        <f>SUMIFS('Vehicle data-proc2023'!AE$20:AE$111,'Vehicle data-proc2023'!$N$20:$N$111,Analytica!$C62,'Vehicle data-proc2023'!$Q$20:$Q$111,RIGHT(Analytica!$D62,3))/1000</f>
        <v>2567.1258296431106</v>
      </c>
      <c r="AM62" s="809">
        <f>SUMIFS('Vehicle data-proc2023'!AF$20:AF$111,'Vehicle data-proc2023'!$N$20:$N$111,Analytica!$C62,'Vehicle data-proc2023'!$Q$20:$Q$111,RIGHT(Analytica!$D62,3))/1000</f>
        <v>2615.0579469287945</v>
      </c>
      <c r="AN62" s="809">
        <f>SUMIFS('Vehicle data-proc2023'!AG$20:AG$111,'Vehicle data-proc2023'!$N$20:$N$111,Analytica!$C62,'Vehicle data-proc2023'!$Q$20:$Q$111,RIGHT(Analytica!$D62,3))/1000</f>
        <v>2662.9900642144776</v>
      </c>
      <c r="AO62" s="809">
        <f>SUMIFS('Vehicle data-proc2023'!AH$20:AH$111,'Vehicle data-proc2023'!$N$20:$N$111,Analytica!$C62,'Vehicle data-proc2023'!$Q$20:$Q$111,RIGHT(Analytica!$D62,3))/1000</f>
        <v>2693.807548805125</v>
      </c>
      <c r="AP62" s="809">
        <f>SUMIFS('Vehicle data-proc2023'!AI$20:AI$111,'Vehicle data-proc2023'!$N$20:$N$111,Analytica!$C62,'Vehicle data-proc2023'!$Q$20:$Q$111,RIGHT(Analytica!$D62,3))/1000</f>
        <v>2724.6250333957719</v>
      </c>
      <c r="AQ62" s="809">
        <f>SUMIFS('Vehicle data-proc2023'!AJ$20:AJ$111,'Vehicle data-proc2023'!$N$20:$N$111,Analytica!$C62,'Vehicle data-proc2023'!$Q$20:$Q$111,RIGHT(Analytica!$D62,3))/1000</f>
        <v>2794.9861891357077</v>
      </c>
      <c r="AR62" s="80"/>
      <c r="AT62" s="810">
        <f t="shared" si="39"/>
        <v>2.7E-2</v>
      </c>
      <c r="AU62" s="80">
        <f t="shared" si="40"/>
        <v>64.10746060016092</v>
      </c>
      <c r="AV62" s="80">
        <f t="shared" si="41"/>
        <v>69.312397400363992</v>
      </c>
      <c r="AW62" s="80">
        <f t="shared" si="42"/>
        <v>71.900731733790892</v>
      </c>
      <c r="AX62" s="80">
        <f t="shared" si="43"/>
        <v>73.564875901685838</v>
      </c>
      <c r="AY62" s="811">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06">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84"/>
      <c r="T63" s="183"/>
      <c r="U63" s="183"/>
      <c r="V63" s="183"/>
      <c r="W63" s="183"/>
      <c r="X63" s="182"/>
      <c r="Z63" s="808">
        <f>(AA63/AB63)*AA63</f>
        <v>0.20645474022958332</v>
      </c>
      <c r="AA63" s="808">
        <f>1/SUMIFS('Vehicle data-proc2023'!AL$20:AL$111,'Vehicle data-proc2023'!$N$20:$N$111,Analytica!$C63,'Vehicle data-proc2023'!$Q$20:$Q$111,RIGHT(Analytica!$D63,3))</f>
        <v>0.20958278956163948</v>
      </c>
      <c r="AB63" s="808">
        <f>1/SUMIFS('Vehicle data-proc2023'!AM$20:AM$111,'Vehicle data-proc2023'!$N$20:$N$111,Analytica!$C63,'Vehicle data-proc2023'!$Q$20:$Q$111,RIGHT(Analytica!$D63,3))</f>
        <v>0.21275823278067008</v>
      </c>
      <c r="AC63" s="808">
        <f>1/SUMIFS('Vehicle data-proc2023'!AN$20:AN$111,'Vehicle data-proc2023'!$N$20:$N$111,Analytica!$C63,'Vehicle data-proc2023'!$Q$20:$Q$111,RIGHT(Analytica!$D63,3))</f>
        <v>0.22939355926993843</v>
      </c>
      <c r="AD63" s="808">
        <f>1/SUMIFS('Vehicle data-proc2023'!AO$20:AO$111,'Vehicle data-proc2023'!$N$20:$N$111,Analytica!$C63,'Vehicle data-proc2023'!$Q$20:$Q$111,RIGHT(Analytica!$D63,3))</f>
        <v>0.25364673361942214</v>
      </c>
      <c r="AE63" s="808">
        <f>1/SUMIFS('Vehicle data-proc2023'!AP$20:AP$111,'Vehicle data-proc2023'!$N$20:$N$111,Analytica!$C63,'Vehicle data-proc2023'!$Q$20:$Q$111,RIGHT(Analytica!$D63,3))</f>
        <v>0.28046413195103725</v>
      </c>
      <c r="AF63" s="808"/>
      <c r="AG63" s="61">
        <f>AG62</f>
        <v>1</v>
      </c>
      <c r="AK63" s="809">
        <f>SUMIFS('Vehicle data-proc2023'!AD$20:AD$111,'Vehicle data-proc2023'!$N$20:$N$111,Analytica!$C63,'Vehicle data-proc2023'!$Q$20:$Q$111,RIGHT(Analytica!$D63,3))/1000</f>
        <v>4768.2396435325663</v>
      </c>
      <c r="AL63" s="809">
        <f>SUMIFS('Vehicle data-proc2023'!AE$20:AE$111,'Vehicle data-proc2023'!$N$20:$N$111,Analytica!$C63,'Vehicle data-proc2023'!$Q$20:$Q$111,RIGHT(Analytica!$D63,3))/1000</f>
        <v>3635.7292317425008</v>
      </c>
      <c r="AM63" s="809">
        <f>SUMIFS('Vehicle data-proc2023'!AF$20:AF$111,'Vehicle data-proc2023'!$N$20:$N$111,Analytica!$C63,'Vehicle data-proc2023'!$Q$20:$Q$111,RIGHT(Analytica!$D63,3))/1000</f>
        <v>3447.7690113726826</v>
      </c>
      <c r="AN63" s="809">
        <f>SUMIFS('Vehicle data-proc2023'!AG$20:AG$111,'Vehicle data-proc2023'!$N$20:$N$111,Analytica!$C63,'Vehicle data-proc2023'!$Q$20:$Q$111,RIGHT(Analytica!$D63,3))/1000</f>
        <v>3259.8087910028635</v>
      </c>
      <c r="AO63" s="809">
        <f>SUMIFS('Vehicle data-proc2023'!AH$20:AH$111,'Vehicle data-proc2023'!$N$20:$N$111,Analytica!$C63,'Vehicle data-proc2023'!$Q$20:$Q$111,RIGHT(Analytica!$D63,3))/1000</f>
        <v>3281.9757365715932</v>
      </c>
      <c r="AP63" s="809">
        <f>SUMIFS('Vehicle data-proc2023'!AI$20:AI$111,'Vehicle data-proc2023'!$N$20:$N$111,Analytica!$C63,'Vehicle data-proc2023'!$Q$20:$Q$111,RIGHT(Analytica!$D63,3))/1000</f>
        <v>3304.1426821403229</v>
      </c>
      <c r="AQ63" s="809">
        <f>SUMIFS('Vehicle data-proc2023'!AJ$20:AJ$111,'Vehicle data-proc2023'!$N$20:$N$111,Analytica!$C63,'Vehicle data-proc2023'!$Q$20:$Q$111,RIGHT(Analytica!$D63,3))/1000</f>
        <v>2794.9861891357077</v>
      </c>
      <c r="AR63" s="80"/>
      <c r="AT63" s="810">
        <f t="shared" si="39"/>
        <v>2.0250000000000001E-2</v>
      </c>
      <c r="AU63" s="80">
        <f t="shared" si="40"/>
        <v>96.556852781534474</v>
      </c>
      <c r="AV63" s="80">
        <f t="shared" si="41"/>
        <v>73.623516942785642</v>
      </c>
      <c r="AW63" s="80">
        <f t="shared" si="42"/>
        <v>66.011128017807991</v>
      </c>
      <c r="AX63" s="80">
        <f t="shared" si="43"/>
        <v>66.908889313341547</v>
      </c>
      <c r="AY63" s="811">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06">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61">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Z64" s="808">
        <f>(1/S64*100)/DieselLHV</f>
        <v>0.37172551382591296</v>
      </c>
      <c r="AA64" s="808">
        <f>1/SUMIFS('Vehicle data-proc2023'!AL$20:AL$111,'Vehicle data-proc2023'!$N$20:$N$111,Analytica!$C64,'Vehicle data-proc2023'!$Q$20:$Q$111,RIGHT(Analytica!$D64,3))</f>
        <v>0.55933604555516125</v>
      </c>
      <c r="AB64" s="808">
        <f>1/SUMIFS('Vehicle data-proc2023'!AM$20:AM$111,'Vehicle data-proc2023'!$N$20:$N$111,Analytica!$C64,'Vehicle data-proc2023'!$Q$20:$Q$111,RIGHT(Analytica!$D64,3))</f>
        <v>0.56781069109610705</v>
      </c>
      <c r="AC64" s="808">
        <f>1/SUMIFS('Vehicle data-proc2023'!AN$20:AN$111,'Vehicle data-proc2023'!$N$20:$N$111,Analytica!$C64,'Vehicle data-proc2023'!$Q$20:$Q$111,RIGHT(Analytica!$D64,3))</f>
        <v>0.61220716923483232</v>
      </c>
      <c r="AD64" s="808">
        <f>1/SUMIFS('Vehicle data-proc2023'!AO$20:AO$111,'Vehicle data-proc2023'!$N$20:$N$111,Analytica!$C64,'Vehicle data-proc2023'!$Q$20:$Q$111,RIGHT(Analytica!$D64,3))</f>
        <v>0.67693421414712618</v>
      </c>
      <c r="AE64" s="808">
        <f>1/SUMIFS('Vehicle data-proc2023'!AP$20:AP$111,'Vehicle data-proc2023'!$N$20:$N$111,Analytica!$C64,'Vehicle data-proc2023'!$Q$20:$Q$111,RIGHT(Analytica!$D64,3))</f>
        <v>0.74850467833579759</v>
      </c>
      <c r="AF64" s="808"/>
      <c r="AG64" s="61">
        <v>1</v>
      </c>
      <c r="AH64" s="807">
        <f>AH66/AH67*AH65</f>
        <v>264.85293551850634</v>
      </c>
      <c r="AI64" s="807"/>
      <c r="AJ64" s="80"/>
      <c r="AK64" s="809">
        <f>SUMIFS('Vehicle data-proc2023'!AD$20:AD$111,'Vehicle data-proc2023'!$N$20:$N$111,Analytica!$C64,'Vehicle data-proc2023'!$Q$20:$Q$111,RIGHT(Analytica!$D64,3))/1000</f>
        <v>676.85689554145608</v>
      </c>
      <c r="AL64" s="809">
        <f>SUMIFS('Vehicle data-proc2023'!AE$20:AE$111,'Vehicle data-proc2023'!$N$20:$N$111,Analytica!$C64,'Vehicle data-proc2023'!$Q$20:$Q$111,RIGHT(Analytica!$D64,3))/1000</f>
        <v>660.65307425353603</v>
      </c>
      <c r="AM64" s="809">
        <f>SUMIFS('Vehicle data-proc2023'!AF$20:AF$111,'Vehicle data-proc2023'!$N$20:$N$111,Analytica!$C64,'Vehicle data-proc2023'!$Q$20:$Q$111,RIGHT(Analytica!$D64,3))/1000</f>
        <v>655.42385807417963</v>
      </c>
      <c r="AN64" s="809">
        <f>SUMIFS('Vehicle data-proc2023'!AG$20:AG$111,'Vehicle data-proc2023'!$N$20:$N$111,Analytica!$C64,'Vehicle data-proc2023'!$Q$20:$Q$111,RIGHT(Analytica!$D64,3))/1000</f>
        <v>650.19464189482301</v>
      </c>
      <c r="AO64" s="809">
        <f>SUMIFS('Vehicle data-proc2023'!AH$20:AH$111,'Vehicle data-proc2023'!$N$20:$N$111,Analytica!$C64,'Vehicle data-proc2023'!$Q$20:$Q$111,RIGHT(Analytica!$D64,3))/1000</f>
        <v>251.27334974387253</v>
      </c>
      <c r="AP64" s="809">
        <f>SUMIFS('Vehicle data-proc2023'!AI$20:AI$111,'Vehicle data-proc2023'!$N$20:$N$111,Analytica!$C64,'Vehicle data-proc2023'!$Q$20:$Q$111,RIGHT(Analytica!$D64,3))/1000</f>
        <v>253.99692506339329</v>
      </c>
      <c r="AQ64" s="809">
        <f>SUMIFS('Vehicle data-proc2023'!AJ$20:AJ$111,'Vehicle data-proc2023'!$N$20:$N$111,Analytica!$C64,'Vehicle data-proc2023'!$Q$20:$Q$111,RIGHT(Analytica!$D64,3))/1000</f>
        <v>257.17260066817499</v>
      </c>
      <c r="AR64" s="80"/>
      <c r="AT64" s="810">
        <f t="shared" si="39"/>
        <v>2.7E-2</v>
      </c>
      <c r="AU64" s="80">
        <f t="shared" si="40"/>
        <v>18.275136179619313</v>
      </c>
      <c r="AV64" s="80">
        <f t="shared" si="41"/>
        <v>17.837633004845472</v>
      </c>
      <c r="AW64" s="80">
        <f t="shared" si="42"/>
        <v>17.555255331160222</v>
      </c>
      <c r="AX64" s="80">
        <f t="shared" si="43"/>
        <v>6.8579169767116186</v>
      </c>
      <c r="AY64" s="811">
        <f t="shared" si="44"/>
        <v>6.9436602180407245</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06">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61">
        <f>S67/$AD$55</f>
        <v>9.5532201178095004</v>
      </c>
      <c r="T65" s="807">
        <f>W18</f>
        <v>7.9055959462827703</v>
      </c>
      <c r="U65" s="187">
        <f>S65/((1+T$57)^(U$58-S$58))</f>
        <v>7.7557748502840909</v>
      </c>
      <c r="V65" s="187">
        <f t="shared" si="48"/>
        <v>6.6828970451048333</v>
      </c>
      <c r="W65" s="187">
        <f t="shared" si="48"/>
        <v>5.7584333967398491</v>
      </c>
      <c r="X65" s="187">
        <f t="shared" si="48"/>
        <v>4.9618533640254023</v>
      </c>
      <c r="Y65" s="187"/>
      <c r="Z65" s="808">
        <f>(1/S65*100)/DieselLHV</f>
        <v>0.28594270294300994</v>
      </c>
      <c r="AA65" s="808">
        <f>1/SUMIFS('Vehicle data-proc2023'!AL$20:AL$111,'Vehicle data-proc2023'!$N$20:$N$111,Analytica!$C65,'Vehicle data-proc2023'!$Q$20:$Q$111,RIGHT(Analytica!$D65,3))</f>
        <v>0.332001778720379</v>
      </c>
      <c r="AB65" s="808">
        <f>1/SUMIFS('Vehicle data-proc2023'!AM$20:AM$111,'Vehicle data-proc2023'!$N$20:$N$111,Analytica!$C65,'Vehicle data-proc2023'!$Q$20:$Q$111,RIGHT(Analytica!$D65,3))</f>
        <v>0.33703202380466663</v>
      </c>
      <c r="AC65" s="808">
        <f>1/SUMIFS('Vehicle data-proc2023'!AN$20:AN$111,'Vehicle data-proc2023'!$N$20:$N$111,Analytica!$C65,'Vehicle data-proc2023'!$Q$20:$Q$111,RIGHT(Analytica!$D65,3))</f>
        <v>0.36338417798480266</v>
      </c>
      <c r="AD65" s="808">
        <f>1/SUMIFS('Vehicle data-proc2023'!AO$20:AO$111,'Vehicle data-proc2023'!$N$20:$N$111,Analytica!$C65,'Vehicle data-proc2023'!$Q$20:$Q$111,RIGHT(Analytica!$D65,3))</f>
        <v>0.40180382608895143</v>
      </c>
      <c r="AE65" s="808">
        <f>1/SUMIFS('Vehicle data-proc2023'!AP$20:AP$111,'Vehicle data-proc2023'!$N$20:$N$111,Analytica!$C65,'Vehicle data-proc2023'!$Q$20:$Q$111,RIGHT(Analytica!$D65,3))</f>
        <v>0.4442854819795492</v>
      </c>
      <c r="AF65" s="808"/>
      <c r="AH65" s="80">
        <v>115.675</v>
      </c>
      <c r="AI65" s="80">
        <v>369.64159214636322</v>
      </c>
      <c r="AJ65" s="80"/>
      <c r="AK65" s="809">
        <f>SUMIFS('Vehicle data-proc2023'!AD$20:AD$111,'Vehicle data-proc2023'!$N$20:$N$111,Analytica!$C65,'Vehicle data-proc2023'!$Q$20:$Q$111,RIGHT(Analytica!$D65,3))/1000</f>
        <v>328.44328314829266</v>
      </c>
      <c r="AL65" s="809">
        <f>SUMIFS('Vehicle data-proc2023'!AE$20:AE$111,'Vehicle data-proc2023'!$N$20:$N$111,Analytica!$C65,'Vehicle data-proc2023'!$Q$20:$Q$111,RIGHT(Analytica!$D65,3))/1000</f>
        <v>360.54493702527509</v>
      </c>
      <c r="AM65" s="809">
        <f>SUMIFS('Vehicle data-proc2023'!AF$20:AF$111,'Vehicle data-proc2023'!$N$20:$N$111,Analytica!$C65,'Vehicle data-proc2023'!$Q$20:$Q$111,RIGHT(Analytica!$D65,3))/1000</f>
        <v>366.15082503153013</v>
      </c>
      <c r="AN65" s="809">
        <f>SUMIFS('Vehicle data-proc2023'!AG$20:AG$111,'Vehicle data-proc2023'!$N$20:$N$111,Analytica!$C65,'Vehicle data-proc2023'!$Q$20:$Q$111,RIGHT(Analytica!$D65,3))/1000</f>
        <v>248.54977442435177</v>
      </c>
      <c r="AO65" s="809">
        <f>SUMIFS('Vehicle data-proc2023'!AH$20:AH$111,'Vehicle data-proc2023'!$N$20:$N$111,Analytica!$C65,'Vehicle data-proc2023'!$Q$20:$Q$111,RIGHT(Analytica!$D65,3))/1000</f>
        <v>251.27334974387253</v>
      </c>
      <c r="AP65" s="809">
        <f>SUMIFS('Vehicle data-proc2023'!AI$20:AI$111,'Vehicle data-proc2023'!$N$20:$N$111,Analytica!$C65,'Vehicle data-proc2023'!$Q$20:$Q$111,RIGHT(Analytica!$D65,3))/1000</f>
        <v>253.99692506339329</v>
      </c>
      <c r="AQ65" s="809">
        <f>SUMIFS('Vehicle data-proc2023'!AJ$20:AJ$111,'Vehicle data-proc2023'!$N$20:$N$111,Analytica!$C65,'Vehicle data-proc2023'!$Q$20:$Q$111,RIGHT(Analytica!$D65,3))/1000</f>
        <v>257.17260066817499</v>
      </c>
      <c r="AR65" s="80"/>
      <c r="AT65" s="810">
        <f t="shared" si="39"/>
        <v>2.7E-2</v>
      </c>
      <c r="AU65" s="80">
        <f t="shared" si="40"/>
        <v>8.8679686450039021</v>
      </c>
      <c r="AV65" s="80">
        <f t="shared" si="41"/>
        <v>9.7347132996824275</v>
      </c>
      <c r="AW65" s="80">
        <f t="shared" si="42"/>
        <v>6.7108439094574974</v>
      </c>
      <c r="AX65" s="80">
        <f t="shared" si="43"/>
        <v>6.8579169767116186</v>
      </c>
      <c r="AY65" s="811">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806">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61">
        <f>S67/1.3</f>
        <v>6.4038461538461533</v>
      </c>
      <c r="T66" s="187">
        <f>W21</f>
        <v>6.0121796481091199</v>
      </c>
      <c r="U66" s="187">
        <f>S66/((1+T$57)^(U$58-S$58))</f>
        <v>5.1989578731152291</v>
      </c>
      <c r="V66" s="187">
        <f t="shared" si="48"/>
        <v>4.4797716383674562</v>
      </c>
      <c r="W66" s="187">
        <f t="shared" si="48"/>
        <v>3.8600724263796415</v>
      </c>
      <c r="X66" s="187">
        <f t="shared" si="48"/>
        <v>3.3260979218856819</v>
      </c>
      <c r="Y66" s="812"/>
      <c r="Z66" s="808">
        <f>AD57/S66</f>
        <v>0.45659694782501747</v>
      </c>
      <c r="AA66" s="808">
        <f>1/SUMIFS('Vehicle data-proc2023'!AL$20:AL$111,'Vehicle data-proc2023'!$N$20:$N$111,Analytica!$C66,'Vehicle data-proc2023'!$Q$20:$Q$111,RIGHT(Analytica!$D66,3))</f>
        <v>0.46703823969253455</v>
      </c>
      <c r="AB66" s="808">
        <f>1/SUMIFS('Vehicle data-proc2023'!AM$20:AM$111,'Vehicle data-proc2023'!$N$20:$N$111,Analytica!$C66,'Vehicle data-proc2023'!$Q$20:$Q$111,RIGHT(Analytica!$D66,3))</f>
        <v>0.47411445723101459</v>
      </c>
      <c r="AC66" s="808">
        <f>1/SUMIFS('Vehicle data-proc2023'!AN$20:AN$111,'Vehicle data-proc2023'!$N$20:$N$111,Analytica!$C66,'Vehicle data-proc2023'!$Q$20:$Q$111,RIGHT(Analytica!$D66,3))</f>
        <v>0.51118493241892826</v>
      </c>
      <c r="AD66" s="808">
        <f>1/SUMIFS('Vehicle data-proc2023'!AO$20:AO$111,'Vehicle data-proc2023'!$N$20:$N$111,Analytica!$C66,'Vehicle data-proc2023'!$Q$20:$Q$111,RIGHT(Analytica!$D66,3))</f>
        <v>0.56523116340397583</v>
      </c>
      <c r="AE66" s="808">
        <f>1/SUMIFS('Vehicle data-proc2023'!AP$20:AP$111,'Vehicle data-proc2023'!$N$20:$N$111,Analytica!$C66,'Vehicle data-proc2023'!$Q$20:$Q$111,RIGHT(Analytica!$D66,3))</f>
        <v>0.62499155945618812</v>
      </c>
      <c r="AF66" s="808"/>
      <c r="AG66" s="61">
        <v>1</v>
      </c>
      <c r="AH66" s="80">
        <v>230.30699999999999</v>
      </c>
      <c r="AI66" s="80">
        <v>574.98525193798446</v>
      </c>
      <c r="AJ66" s="80"/>
      <c r="AK66" s="809">
        <f>SUMIFS('Vehicle data-proc2023'!AD$20:AD$111,'Vehicle data-proc2023'!$N$20:$N$111,Analytica!$C66,'Vehicle data-proc2023'!$Q$20:$Q$111,RIGHT(Analytica!$D66,3))/1000</f>
        <v>463.91482511277962</v>
      </c>
      <c r="AL66" s="809">
        <f>SUMIFS('Vehicle data-proc2023'!AE$20:AE$111,'Vehicle data-proc2023'!$N$20:$N$111,Analytica!$C66,'Vehicle data-proc2023'!$Q$20:$Q$111,RIGHT(Analytica!$D66,3))/1000</f>
        <v>440.43538283569075</v>
      </c>
      <c r="AM66" s="809">
        <f>SUMIFS('Vehicle data-proc2023'!AF$20:AF$111,'Vehicle data-proc2023'!$N$20:$N$111,Analytica!$C66,'Vehicle data-proc2023'!$Q$20:$Q$111,RIGHT(Analytica!$D66,3))/1000</f>
        <v>436.63514806228852</v>
      </c>
      <c r="AN66" s="809">
        <f>SUMIFS('Vehicle data-proc2023'!AG$20:AG$111,'Vehicle data-proc2023'!$N$20:$N$111,Analytica!$C66,'Vehicle data-proc2023'!$Q$20:$Q$111,RIGHT(Analytica!$D66,3))/1000</f>
        <v>432.8349132888863</v>
      </c>
      <c r="AO66" s="809">
        <f>SUMIFS('Vehicle data-proc2023'!AH$20:AH$111,'Vehicle data-proc2023'!$N$20:$N$111,Analytica!$C66,'Vehicle data-proc2023'!$Q$20:$Q$111,RIGHT(Analytica!$D66,3))/1000</f>
        <v>251.27334974387253</v>
      </c>
      <c r="AP66" s="809">
        <f>SUMIFS('Vehicle data-proc2023'!AI$20:AI$111,'Vehicle data-proc2023'!$N$20:$N$111,Analytica!$C66,'Vehicle data-proc2023'!$Q$20:$Q$111,RIGHT(Analytica!$D66,3))/1000</f>
        <v>253.99692506339329</v>
      </c>
      <c r="AQ66" s="809">
        <f>SUMIFS('Vehicle data-proc2023'!AJ$20:AJ$111,'Vehicle data-proc2023'!$N$20:$N$111,Analytica!$C66,'Vehicle data-proc2023'!$Q$20:$Q$111,RIGHT(Analytica!$D66,3))/1000</f>
        <v>257.17260066817499</v>
      </c>
      <c r="AR66" s="80"/>
      <c r="AT66" s="810">
        <f t="shared" si="39"/>
        <v>2.7E-2</v>
      </c>
      <c r="AU66" s="80">
        <f t="shared" si="40"/>
        <v>12.525700278045051</v>
      </c>
      <c r="AV66" s="80">
        <f t="shared" si="41"/>
        <v>11.89175533656365</v>
      </c>
      <c r="AW66" s="80">
        <f t="shared" si="42"/>
        <v>11.686542658799929</v>
      </c>
      <c r="AX66" s="80">
        <f t="shared" si="43"/>
        <v>6.8579169767116186</v>
      </c>
      <c r="AY66" s="811">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806">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61">
        <v>8.3249999999999993</v>
      </c>
      <c r="T67" s="807">
        <f>W19</f>
        <v>8.1935839212683703</v>
      </c>
      <c r="U67" s="187">
        <f>S67/((1+T$57)^(U$58-S$58))</f>
        <v>6.7586452350497979</v>
      </c>
      <c r="V67" s="187">
        <f t="shared" si="48"/>
        <v>5.8237031298776936</v>
      </c>
      <c r="W67" s="187">
        <f t="shared" si="48"/>
        <v>5.0180941542935349</v>
      </c>
      <c r="X67" s="187">
        <f t="shared" si="48"/>
        <v>4.3239272984513875</v>
      </c>
      <c r="Y67" s="813"/>
      <c r="Z67" s="808">
        <f>(1/S67*100)/GasolineLHV</f>
        <v>0.36237354673108862</v>
      </c>
      <c r="AA67" s="808">
        <f>1/SUMIFS('Vehicle data-proc2023'!AL$20:AL$111,'Vehicle data-proc2023'!$N$20:$N$111,Analytica!$C67,'Vehicle data-proc2023'!$Q$20:$Q$111,RIGHT(Analytica!$D67,3))</f>
        <v>0.35686173917097103</v>
      </c>
      <c r="AB67" s="808">
        <f>1/SUMIFS('Vehicle data-proc2023'!AM$20:AM$111,'Vehicle data-proc2023'!$N$20:$N$111,Analytica!$C67,'Vehicle data-proc2023'!$Q$20:$Q$111,RIGHT(Analytica!$D67,3))</f>
        <v>0.36226864396574021</v>
      </c>
      <c r="AC67" s="808">
        <f>1/SUMIFS('Vehicle data-proc2023'!AN$20:AN$111,'Vehicle data-proc2023'!$N$20:$N$111,Analytica!$C67,'Vehicle data-proc2023'!$Q$20:$Q$111,RIGHT(Analytica!$D67,3))</f>
        <v>0.39059402104013624</v>
      </c>
      <c r="AD67" s="808">
        <f>1/SUMIFS('Vehicle data-proc2023'!AO$20:AO$111,'Vehicle data-proc2023'!$N$20:$N$111,Analytica!$C67,'Vehicle data-proc2023'!$Q$20:$Q$111,RIGHT(Analytica!$D67,3))</f>
        <v>0.43189049388924888</v>
      </c>
      <c r="AE67" s="808">
        <f>1/SUMIFS('Vehicle data-proc2023'!AP$20:AP$111,'Vehicle data-proc2023'!$N$20:$N$111,Analytica!$C67,'Vehicle data-proc2023'!$Q$20:$Q$111,RIGHT(Analytica!$D67,3))</f>
        <v>0.47755313359682011</v>
      </c>
      <c r="AF67" s="808"/>
      <c r="AH67" s="80">
        <v>100.587</v>
      </c>
      <c r="AI67" s="80">
        <v>307.29171966885525</v>
      </c>
      <c r="AJ67" s="80"/>
      <c r="AK67" s="809">
        <f>SUMIFS('Vehicle data-proc2023'!AD$20:AD$111,'Vehicle data-proc2023'!$N$20:$N$111,Analytica!$C67,'Vehicle data-proc2023'!$Q$20:$Q$111,RIGHT(Analytica!$D67,3))/1000</f>
        <v>221.97327212134016</v>
      </c>
      <c r="AL67" s="809">
        <f>SUMIFS('Vehicle data-proc2023'!AE$20:AE$111,'Vehicle data-proc2023'!$N$20:$N$111,Analytica!$C67,'Vehicle data-proc2023'!$Q$20:$Q$111,RIGHT(Analytica!$D67,3))/1000</f>
        <v>240.3632913501834</v>
      </c>
      <c r="AM67" s="809">
        <f>SUMIFS('Vehicle data-proc2023'!AF$20:AF$111,'Vehicle data-proc2023'!$N$20:$N$111,Analytica!$C67,'Vehicle data-proc2023'!$Q$20:$Q$111,RIGHT(Analytica!$D67,3))/1000</f>
        <v>244.4565328872676</v>
      </c>
      <c r="AN67" s="809">
        <f>SUMIFS('Vehicle data-proc2023'!AG$20:AG$111,'Vehicle data-proc2023'!$N$20:$N$111,Analytica!$C67,'Vehicle data-proc2023'!$Q$20:$Q$111,RIGHT(Analytica!$D67,3))/1000</f>
        <v>248.54977442435177</v>
      </c>
      <c r="AO67" s="809">
        <f>SUMIFS('Vehicle data-proc2023'!AH$20:AH$111,'Vehicle data-proc2023'!$N$20:$N$111,Analytica!$C67,'Vehicle data-proc2023'!$Q$20:$Q$111,RIGHT(Analytica!$D67,3))/1000</f>
        <v>251.27334974387253</v>
      </c>
      <c r="AP67" s="809">
        <f>SUMIFS('Vehicle data-proc2023'!AI$20:AI$111,'Vehicle data-proc2023'!$N$20:$N$111,Analytica!$C67,'Vehicle data-proc2023'!$Q$20:$Q$111,RIGHT(Analytica!$D67,3))/1000</f>
        <v>253.99692506339329</v>
      </c>
      <c r="AQ67" s="809">
        <f>SUMIFS('Vehicle data-proc2023'!AJ$20:AJ$111,'Vehicle data-proc2023'!$N$20:$N$111,Analytica!$C67,'Vehicle data-proc2023'!$Q$20:$Q$111,RIGHT(Analytica!$D67,3))/1000</f>
        <v>257.17260066817499</v>
      </c>
      <c r="AR67" s="80"/>
      <c r="AT67" s="810">
        <f t="shared" si="39"/>
        <v>2.7E-2</v>
      </c>
      <c r="AU67" s="80">
        <f t="shared" si="40"/>
        <v>5.9932783472761839</v>
      </c>
      <c r="AV67" s="80">
        <f t="shared" si="41"/>
        <v>6.4898088664549514</v>
      </c>
      <c r="AW67" s="80">
        <f t="shared" si="42"/>
        <v>6.7108439094574974</v>
      </c>
      <c r="AX67" s="80">
        <f t="shared" si="43"/>
        <v>6.8579169767116186</v>
      </c>
      <c r="AY67" s="811">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06">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Z68" s="187">
        <f>(1/S68*100)/CV.LHV.E85</f>
        <v>0.2972787518815912</v>
      </c>
      <c r="AA68" s="808">
        <f>1/SUMIFS('Vehicle data-proc2023'!AL$20:AL$111,'Vehicle data-proc2023'!$N$20:$N$111,Analytica!$C68,'Vehicle data-proc2023'!$Q$20:$Q$111,RIGHT(Analytica!$D68,3))</f>
        <v>0.35686173917097103</v>
      </c>
      <c r="AB68" s="808">
        <f>1/SUMIFS('Vehicle data-proc2023'!AM$20:AM$111,'Vehicle data-proc2023'!$N$20:$N$111,Analytica!$C68,'Vehicle data-proc2023'!$Q$20:$Q$111,RIGHT(Analytica!$D68,3))</f>
        <v>0.36226864396574021</v>
      </c>
      <c r="AC68" s="808">
        <f>1/SUMIFS('Vehicle data-proc2023'!AN$20:AN$111,'Vehicle data-proc2023'!$N$20:$N$111,Analytica!$C68,'Vehicle data-proc2023'!$Q$20:$Q$111,RIGHT(Analytica!$D68,3))</f>
        <v>0.39059402104013624</v>
      </c>
      <c r="AD68" s="808">
        <f>1/SUMIFS('Vehicle data-proc2023'!AO$20:AO$111,'Vehicle data-proc2023'!$N$20:$N$111,Analytica!$C68,'Vehicle data-proc2023'!$Q$20:$Q$111,RIGHT(Analytica!$D68,3))</f>
        <v>0.43189049388924888</v>
      </c>
      <c r="AE68" s="808">
        <f>1/SUMIFS('Vehicle data-proc2023'!AP$20:AP$111,'Vehicle data-proc2023'!$N$20:$N$111,Analytica!$C68,'Vehicle data-proc2023'!$Q$20:$Q$111,RIGHT(Analytica!$D68,3))</f>
        <v>0.47755313359682011</v>
      </c>
      <c r="AF68" s="808"/>
      <c r="AH68" s="80">
        <v>100.587</v>
      </c>
      <c r="AI68" s="80">
        <v>307.29171966885525</v>
      </c>
      <c r="AJ68" s="80"/>
      <c r="AK68" s="809">
        <f>SUMIFS('Vehicle data-proc2023'!AD$20:AD$111,'Vehicle data-proc2023'!$N$20:$N$111,Analytica!$C68,'Vehicle data-proc2023'!$Q$20:$Q$111,RIGHT(Analytica!$D68,3))/1000</f>
        <v>221.97327212134016</v>
      </c>
      <c r="AL68" s="809">
        <f>SUMIFS('Vehicle data-proc2023'!AE$20:AE$111,'Vehicle data-proc2023'!$N$20:$N$111,Analytica!$C68,'Vehicle data-proc2023'!$Q$20:$Q$111,RIGHT(Analytica!$D68,3))/1000</f>
        <v>240.3632913501834</v>
      </c>
      <c r="AM68" s="809">
        <f>SUMIFS('Vehicle data-proc2023'!AF$20:AF$111,'Vehicle data-proc2023'!$N$20:$N$111,Analytica!$C68,'Vehicle data-proc2023'!$Q$20:$Q$111,RIGHT(Analytica!$D68,3))/1000</f>
        <v>244.4565328872676</v>
      </c>
      <c r="AN68" s="809">
        <f>SUMIFS('Vehicle data-proc2023'!AG$20:AG$111,'Vehicle data-proc2023'!$N$20:$N$111,Analytica!$C68,'Vehicle data-proc2023'!$Q$20:$Q$111,RIGHT(Analytica!$D68,3))/1000</f>
        <v>248.54977442435177</v>
      </c>
      <c r="AO68" s="809">
        <f>SUMIFS('Vehicle data-proc2023'!AH$20:AH$111,'Vehicle data-proc2023'!$N$20:$N$111,Analytica!$C68,'Vehicle data-proc2023'!$Q$20:$Q$111,RIGHT(Analytica!$D68,3))/1000</f>
        <v>251.27334974387253</v>
      </c>
      <c r="AP68" s="809">
        <f>SUMIFS('Vehicle data-proc2023'!AI$20:AI$111,'Vehicle data-proc2023'!$N$20:$N$111,Analytica!$C68,'Vehicle data-proc2023'!$Q$20:$Q$111,RIGHT(Analytica!$D68,3))/1000</f>
        <v>253.99692506339329</v>
      </c>
      <c r="AQ68" s="809">
        <f>SUMIFS('Vehicle data-proc2023'!AJ$20:AJ$111,'Vehicle data-proc2023'!$N$20:$N$111,Analytica!$C68,'Vehicle data-proc2023'!$Q$20:$Q$111,RIGHT(Analytica!$D68,3))/1000</f>
        <v>257.17260066817499</v>
      </c>
      <c r="AR68" s="80"/>
      <c r="AT68" s="810">
        <f t="shared" si="39"/>
        <v>2.7E-2</v>
      </c>
      <c r="AU68" s="80">
        <f t="shared" si="40"/>
        <v>5.9932783472761839</v>
      </c>
      <c r="AV68" s="80">
        <f t="shared" si="41"/>
        <v>6.4898088664549514</v>
      </c>
      <c r="AW68" s="80">
        <f t="shared" si="42"/>
        <v>6.7108439094574974</v>
      </c>
      <c r="AX68" s="80">
        <f t="shared" si="43"/>
        <v>6.8579169767116186</v>
      </c>
      <c r="AY68" s="811">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06">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168">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08">
        <f>(AA69/AB69)*AA69</f>
        <v>1.7318475298874823</v>
      </c>
      <c r="AA69" s="808">
        <f>1/SUMIFS('Vehicle data-proc2023'!AL$20:AL$111,'Vehicle data-proc2023'!$N$20:$N$111,Analytica!$C69,'Vehicle data-proc2023'!$Q$20:$Q$111,RIGHT(Analytica!$D69,3))</f>
        <v>1.7580872011251758</v>
      </c>
      <c r="AB69" s="808">
        <f>1/SUMIFS('Vehicle data-proc2023'!AM$20:AM$111,'Vehicle data-proc2023'!$N$20:$N$111,Analytica!$C69,'Vehicle data-proc2023'!$Q$20:$Q$111,RIGHT(Analytica!$D69,3))</f>
        <v>1.7847244364294399</v>
      </c>
      <c r="AC69" s="808">
        <f>1/SUMIFS('Vehicle data-proc2023'!AN$20:AN$111,'Vehicle data-proc2023'!$N$20:$N$111,Analytica!$C69,'Vehicle data-proc2023'!$Q$20:$Q$111,RIGHT(Analytica!$D69,3))</f>
        <v>1.9242700291209607</v>
      </c>
      <c r="AD69" s="808">
        <f>1/SUMIFS('Vehicle data-proc2023'!AO$20:AO$111,'Vehicle data-proc2023'!$N$20:$N$111,Analytica!$C69,'Vehicle data-proc2023'!$Q$20:$Q$111,RIGHT(Analytica!$D69,3))</f>
        <v>2.1277180102250783</v>
      </c>
      <c r="AE69" s="808">
        <f>1/SUMIFS('Vehicle data-proc2023'!AP$20:AP$111,'Vehicle data-proc2023'!$N$20:$N$111,Analytica!$C69,'Vehicle data-proc2023'!$Q$20:$Q$111,RIGHT(Analytica!$D69,3))</f>
        <v>2.3526760083169105</v>
      </c>
      <c r="AF69" s="808"/>
      <c r="AG69" s="61">
        <v>1</v>
      </c>
      <c r="AH69" s="80">
        <f>176.03*1.5</f>
        <v>264.04500000000002</v>
      </c>
      <c r="AI69" s="80">
        <v>464.3</v>
      </c>
      <c r="AJ69" s="80"/>
      <c r="AK69" s="809">
        <f>SUMIFS('Vehicle data-proc2023'!AD$20:AD$111,'Vehicle data-proc2023'!$N$20:$N$111,Analytica!$C69,'Vehicle data-proc2023'!$Q$20:$Q$111,RIGHT(Analytica!$D69,3))/1000</f>
        <v>2159.0957260271593</v>
      </c>
      <c r="AL69" s="809">
        <f>SUMIFS('Vehicle data-proc2023'!AE$20:AE$111,'Vehicle data-proc2023'!$N$20:$N$111,Analytica!$C69,'Vehicle data-proc2023'!$Q$20:$Q$111,RIGHT(Analytica!$D69,3))/1000 * SUMIFS('Vehicle data-proc2023'!AU$20:AU$111,'Vehicle data-proc2023'!$N$20:$N$111,Analytica!$C69,'Vehicle data-proc2023'!$Q$20:$Q$111,RIGHT(Analytica!$D69,3))</f>
        <v>1465.8478295627149</v>
      </c>
      <c r="AM69" s="809">
        <f>SUMIFS('Vehicle data-proc2023'!AF$20:AF$111,'Vehicle data-proc2023'!$N$20:$N$111,Analytica!$C69,'Vehicle data-proc2023'!$Q$20:$Q$111,RIGHT(Analytica!$D69,3))/1000</f>
        <v>1339.8515427458035</v>
      </c>
      <c r="AN69" s="809">
        <f>SUMIFS('Vehicle data-proc2023'!AG$20:AG$111,'Vehicle data-proc2023'!$N$20:$N$111,Analytica!$C69,'Vehicle data-proc2023'!$Q$20:$Q$111,RIGHT(Analytica!$D69,3))/1000</f>
        <v>1213.8552559288921</v>
      </c>
      <c r="AO69" s="809">
        <f>SUMIFS('Vehicle data-proc2023'!AH$20:AH$111,'Vehicle data-proc2023'!$N$20:$N$111,Analytica!$C69,'Vehicle data-proc2023'!$Q$20:$Q$111,RIGHT(Analytica!$D69,3))/1000</f>
        <v>251.27334974387253</v>
      </c>
      <c r="AP69" s="809">
        <f>SUMIFS('Vehicle data-proc2023'!AI$20:AI$111,'Vehicle data-proc2023'!$N$20:$N$111,Analytica!$C69,'Vehicle data-proc2023'!$Q$20:$Q$111,RIGHT(Analytica!$D69,3))/1000 * SUMIFS('Vehicle data-proc2023'!AW$20:AW$111,'Vehicle data-proc2023'!$N$20:$N$111,Analytica!$C69,'Vehicle data-proc2023'!$Q$20:$Q$111,RIGHT(Analytica!$D69,3))</f>
        <v>253.99692506339329</v>
      </c>
      <c r="AQ69" s="809">
        <f>SUMIFS('Vehicle data-proc2023'!AJ$20:AJ$111,'Vehicle data-proc2023'!$N$20:$N$111,Analytica!$C69,'Vehicle data-proc2023'!$Q$20:$Q$111,RIGHT(Analytica!$D69,3))/1000 * SUMIFS('Vehicle data-proc2023'!AX$20:AX$111,'Vehicle data-proc2023'!$N$20:$N$111,Analytica!$C69,'Vehicle data-proc2023'!$Q$20:$Q$111,RIGHT(Analytica!$D69,3))</f>
        <v>257.17260066817499</v>
      </c>
      <c r="AR69" s="80"/>
      <c r="AT69" s="810">
        <f t="shared" si="39"/>
        <v>2.0250000000000001E-2</v>
      </c>
      <c r="AU69" s="80">
        <f t="shared" si="40"/>
        <v>43.721688452049975</v>
      </c>
      <c r="AV69" s="80">
        <f t="shared" si="41"/>
        <v>29.683418548644976</v>
      </c>
      <c r="AW69" s="80">
        <f t="shared" si="42"/>
        <v>24.580568932560066</v>
      </c>
      <c r="AX69" s="80">
        <f t="shared" si="43"/>
        <v>5.1434377325337142</v>
      </c>
      <c r="AY69" s="811">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06">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61">
        <v>8.5</v>
      </c>
      <c r="T70" s="187">
        <f t="shared" si="50"/>
        <v>7.7736086364019128</v>
      </c>
      <c r="U70" s="187">
        <f t="shared" si="50"/>
        <v>6.9007188586094035</v>
      </c>
      <c r="V70" s="187">
        <f t="shared" si="50"/>
        <v>5.9461233157910387</v>
      </c>
      <c r="W70" s="187">
        <f t="shared" si="50"/>
        <v>5.1235796169964019</v>
      </c>
      <c r="X70" s="187">
        <f t="shared" si="50"/>
        <v>4.4148206650855002</v>
      </c>
      <c r="Y70" s="187"/>
      <c r="Z70" s="808">
        <f>Z67/S67*S70</f>
        <v>0.36999100867438478</v>
      </c>
      <c r="AA70" s="808">
        <f>1/SUMIFS('Vehicle data-proc2023'!AL$20:AL$111,'Vehicle data-proc2023'!$N$20:$N$111,Analytica!$C70,'Vehicle data-proc2023'!$Q$20:$Q$111,RIGHT(Analytica!$D70,3))</f>
        <v>0.35686173917097103</v>
      </c>
      <c r="AB70" s="808">
        <f>1/SUMIFS('Vehicle data-proc2023'!AM$20:AM$111,'Vehicle data-proc2023'!$N$20:$N$111,Analytica!$C70,'Vehicle data-proc2023'!$Q$20:$Q$111,RIGHT(Analytica!$D70,3))</f>
        <v>0.36226864396574021</v>
      </c>
      <c r="AC70" s="808">
        <f>1/SUMIFS('Vehicle data-proc2023'!AN$20:AN$111,'Vehicle data-proc2023'!$N$20:$N$111,Analytica!$C70,'Vehicle data-proc2023'!$Q$20:$Q$111,RIGHT(Analytica!$D70,3))</f>
        <v>0.39059402104013624</v>
      </c>
      <c r="AD70" s="808">
        <f>1/SUMIFS('Vehicle data-proc2023'!AO$20:AO$111,'Vehicle data-proc2023'!$N$20:$N$111,Analytica!$C70,'Vehicle data-proc2023'!$Q$20:$Q$111,RIGHT(Analytica!$D70,3))</f>
        <v>0.43189049388924888</v>
      </c>
      <c r="AE70" s="808">
        <f>1/SUMIFS('Vehicle data-proc2023'!AP$20:AP$111,'Vehicle data-proc2023'!$N$20:$N$111,Analytica!$C70,'Vehicle data-proc2023'!$Q$20:$Q$111,RIGHT(Analytica!$D70,3))</f>
        <v>0.47755313359682011</v>
      </c>
      <c r="AF70" s="808"/>
      <c r="AH70" s="80">
        <f>AH67*(1+$AR$57)</f>
        <v>110.64570000000002</v>
      </c>
      <c r="AI70" s="80">
        <f>AI67*(1+$AR$57)</f>
        <v>338.02089163574078</v>
      </c>
      <c r="AJ70" s="80"/>
      <c r="AK70" s="809">
        <f>SUMIFS('Vehicle data-proc2023'!AD$20:AD$111,'Vehicle data-proc2023'!$N$20:$N$111,Analytica!$C70,'Vehicle data-proc2023'!$Q$20:$Q$111,RIGHT(Analytica!$D70,3))/1000</f>
        <v>376.67962430658605</v>
      </c>
      <c r="AL70" s="809">
        <f>SUMIFS('Vehicle data-proc2023'!AE$20:AE$111,'Vehicle data-proc2023'!$N$20:$N$111,Analytica!$C70,'Vehicle data-proc2023'!$Q$20:$Q$111,RIGHT(Analytica!$D70,3))/1000</f>
        <v>396.59943072780266</v>
      </c>
      <c r="AM70" s="809">
        <f>SUMIFS('Vehicle data-proc2023'!AF$20:AF$111,'Vehicle data-proc2023'!$N$20:$N$111,Analytica!$C70,'Vehicle data-proc2023'!$Q$20:$Q$111,RIGHT(Analytica!$D70,3))/1000</f>
        <v>400.60799761902143</v>
      </c>
      <c r="AN70" s="809">
        <f>SUMIFS('Vehicle data-proc2023'!AG$20:AG$111,'Vehicle data-proc2023'!$N$20:$N$111,Analytica!$C70,'Vehicle data-proc2023'!$Q$20:$Q$111,RIGHT(Analytica!$D70,3))/1000</f>
        <v>404.61656451024021</v>
      </c>
      <c r="AO70" s="809">
        <f>SUMIFS('Vehicle data-proc2023'!AH$20:AH$111,'Vehicle data-proc2023'!$N$20:$N$111,Analytica!$C70,'Vehicle data-proc2023'!$Q$20:$Q$111,RIGHT(Analytica!$D70,3))/1000</f>
        <v>407.70315451742715</v>
      </c>
      <c r="AP70" s="809">
        <f>SUMIFS('Vehicle data-proc2023'!AI$20:AI$111,'Vehicle data-proc2023'!$N$20:$N$111,Analytica!$C70,'Vehicle data-proc2023'!$Q$20:$Q$111,RIGHT(Analytica!$D70,3))/1000</f>
        <v>410.78974452461404</v>
      </c>
      <c r="AQ70" s="809">
        <f>SUMIFS('Vehicle data-proc2023'!AJ$20:AJ$111,'Vehicle data-proc2023'!$N$20:$N$111,Analytica!$C70,'Vehicle data-proc2023'!$Q$20:$Q$111,RIGHT(Analytica!$D70,3))/1000</f>
        <v>414.21103231367636</v>
      </c>
      <c r="AR70" s="80"/>
      <c r="AT70" s="810">
        <f t="shared" si="39"/>
        <v>2.7E-2</v>
      </c>
      <c r="AU70" s="80">
        <f t="shared" si="40"/>
        <v>10.170349856277824</v>
      </c>
      <c r="AV70" s="80">
        <f t="shared" si="41"/>
        <v>10.708184629650672</v>
      </c>
      <c r="AW70" s="80">
        <f t="shared" si="42"/>
        <v>10.924647241776485</v>
      </c>
      <c r="AX70" s="80">
        <f t="shared" si="43"/>
        <v>11.091323102164578</v>
      </c>
      <c r="AY70" s="811">
        <f t="shared" si="44"/>
        <v>11.183697872469262</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06">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61">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Z71" s="808">
        <f>(1/S71*100)/GasolineLHV</f>
        <v>0.63859949283016149</v>
      </c>
      <c r="AA71" s="808">
        <f>1/SUMIFS('Vehicle data-proc2023'!AL$20:AL$111,'Vehicle data-proc2023'!$N$20:$N$111,Analytica!$C71,'Vehicle data-proc2023'!$Q$20:$Q$111,RIGHT(Analytica!$D71,3))</f>
        <v>0.92039549793810016</v>
      </c>
      <c r="AB71" s="808">
        <f>1/SUMIFS('Vehicle data-proc2023'!AM$20:AM$111,'Vehicle data-proc2023'!$N$20:$N$111,Analytica!$C71,'Vehicle data-proc2023'!$Q$20:$Q$111,RIGHT(Analytica!$D71,3))</f>
        <v>0.93434064891574875</v>
      </c>
      <c r="AC71" s="808">
        <f>1/SUMIFS('Vehicle data-proc2023'!AN$20:AN$111,'Vehicle data-proc2023'!$N$20:$N$111,Analytica!$C71,'Vehicle data-proc2023'!$Q$20:$Q$111,RIGHT(Analytica!$D71,3))</f>
        <v>1.0073956914575406</v>
      </c>
      <c r="AD71" s="808">
        <f>1/SUMIFS('Vehicle data-proc2023'!AO$20:AO$111,'Vehicle data-proc2023'!$N$20:$N$111,Analytica!$C71,'Vehicle data-proc2023'!$Q$20:$Q$111,RIGHT(Analytica!$D71,3))</f>
        <v>1.1139049736780038</v>
      </c>
      <c r="AE71" s="808">
        <f>1/SUMIFS('Vehicle data-proc2023'!AP$20:AP$111,'Vehicle data-proc2023'!$N$20:$N$111,Analytica!$C71,'Vehicle data-proc2023'!$Q$20:$Q$111,RIGHT(Analytica!$D71,3))</f>
        <v>1.2316752006248683</v>
      </c>
      <c r="AF71" s="808"/>
      <c r="AH71" s="80"/>
      <c r="AI71" s="80"/>
      <c r="AJ71" s="80"/>
      <c r="AK71" s="809">
        <f>SUMIFS('Vehicle data-proc2023'!AD$20:AD$111,'Vehicle data-proc2023'!$N$20:$N$111,Analytica!$C71,'Vehicle data-proc2023'!$Q$20:$Q$111,RIGHT(Analytica!$D71,3))/1000</f>
        <v>5561.6176018542455</v>
      </c>
      <c r="AL71" s="809">
        <f>SUMIFS('Vehicle data-proc2023'!AE$20:AE$111,'Vehicle data-proc2023'!$N$20:$N$111,Analytica!$C71,'Vehicle data-proc2023'!$Q$20:$Q$111,RIGHT(Analytica!$D71,3))/1000</f>
        <v>2198.7717443440724</v>
      </c>
      <c r="AM71" s="809">
        <f>SUMIFS('Vehicle data-proc2023'!AF$20:AF$111,'Vehicle data-proc2023'!$N$20:$N$111,Analytica!$C71,'Vehicle data-proc2023'!$Q$20:$Q$111,RIGHT(Analytica!$D71,3))/1000</f>
        <v>1677.37606856464</v>
      </c>
      <c r="AN71" s="809">
        <f>SUMIFS('Vehicle data-proc2023'!AG$20:AG$111,'Vehicle data-proc2023'!$N$20:$N$111,Analytica!$C71,'Vehicle data-proc2023'!$Q$20:$Q$111,RIGHT(Analytica!$D71,3))/1000</f>
        <v>1155.9803927852079</v>
      </c>
      <c r="AO71" s="809">
        <f>SUMIFS('Vehicle data-proc2023'!AH$20:AH$111,'Vehicle data-proc2023'!$N$20:$N$111,Analytica!$C71,'Vehicle data-proc2023'!$Q$20:$Q$111,RIGHT(Analytica!$D71,3))/1000</f>
        <v>1094.1474529170425</v>
      </c>
      <c r="AP71" s="809">
        <f>SUMIFS('Vehicle data-proc2023'!AI$20:AI$111,'Vehicle data-proc2023'!$N$20:$N$111,Analytica!$C71,'Vehicle data-proc2023'!$Q$20:$Q$111,RIGHT(Analytica!$D71,3))/1000</f>
        <v>1032.3145130488772</v>
      </c>
      <c r="AQ71" s="809">
        <f>SUMIFS('Vehicle data-proc2023'!AJ$20:AJ$111,'Vehicle data-proc2023'!$N$20:$N$111,Analytica!$C71,'Vehicle data-proc2023'!$Q$20:$Q$111,RIGHT(Analytica!$D71,3))/1000</f>
        <v>257.17260066817499</v>
      </c>
      <c r="AR71" s="80"/>
      <c r="AT71" s="810">
        <f t="shared" si="39"/>
        <v>2.7E-2</v>
      </c>
      <c r="AU71" s="80">
        <f t="shared" si="40"/>
        <v>150.16367525006464</v>
      </c>
      <c r="AV71" s="80">
        <f t="shared" si="41"/>
        <v>59.366837097289952</v>
      </c>
      <c r="AW71" s="80">
        <f t="shared" si="42"/>
        <v>31.211470605200613</v>
      </c>
      <c r="AX71" s="80">
        <f t="shared" si="43"/>
        <v>27.872491852319683</v>
      </c>
      <c r="AY71" s="811">
        <f t="shared" si="44"/>
        <v>6.9436602180407245</v>
      </c>
      <c r="BA71" s="164">
        <f t="shared" si="49"/>
        <v>0</v>
      </c>
      <c r="BC71" s="167"/>
    </row>
    <row r="72" spans="1:57" x14ac:dyDescent="0.25">
      <c r="A72" s="61" t="str">
        <f t="shared" si="31"/>
        <v>CV1ODS</v>
      </c>
      <c r="B72" s="61" t="str">
        <f t="shared" ref="B72:B107" si="51">D72&amp;C72&amp;"-N"</f>
        <v>TFHCV1ODS-N</v>
      </c>
      <c r="C72" s="61" t="s">
        <v>511</v>
      </c>
      <c r="D72" s="61" t="s">
        <v>551</v>
      </c>
      <c r="E72" t="s">
        <v>266</v>
      </c>
      <c r="F72" s="806">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61">
        <v>14.46</v>
      </c>
      <c r="T72" s="80">
        <v>13.9</v>
      </c>
      <c r="U72" s="187">
        <f>T72/((1+U$53)^(U$58-T$58))</f>
        <v>13.093458068993115</v>
      </c>
      <c r="V72" s="187">
        <f>U72/((1+V$53)^(V$58-U$58))</f>
        <v>12.150770373951501</v>
      </c>
      <c r="W72" s="187">
        <f>V72/((1+W$53)^(W$58-V$58))</f>
        <v>11.275953220496399</v>
      </c>
      <c r="X72" s="187">
        <f>W72/((1+X$53)^(X$58-W$58))</f>
        <v>10.464120143641077</v>
      </c>
      <c r="Z72" s="808">
        <f t="shared" ref="Z72:Z81" si="55">SUMIF($AC$56:$AC$57,$C72,$AD$56:$AD$57)/S72</f>
        <v>0.17621385757647159</v>
      </c>
      <c r="AA72" s="808">
        <f>1/SUMIFS('Vehicle data-proc2023'!AL$20:AL$111,'Vehicle data-proc2023'!$N$20:$N$111,Analytica!$C72,'Vehicle data-proc2023'!$Q$20:$Q$111,RIGHT(Analytica!$D72,3))</f>
        <v>0.170324176066042</v>
      </c>
      <c r="AB72" s="808">
        <f>1/SUMIFS('Vehicle data-proc2023'!AM$20:AM$111,'Vehicle data-proc2023'!$N$20:$N$111,Analytica!$C72,'Vehicle data-proc2023'!$Q$20:$Q$111,RIGHT(Analytica!$D72,3))</f>
        <v>0.17083617224509673</v>
      </c>
      <c r="AC72" s="808">
        <f>1/SUMIFS('Vehicle data-proc2023'!AN$20:AN$111,'Vehicle data-proc2023'!$N$20:$N$111,Analytica!$C72,'Vehicle data-proc2023'!$Q$20:$Q$111,RIGHT(Analytica!$D72,3))</f>
        <v>0.18052275694934541</v>
      </c>
      <c r="AD72" s="808">
        <f>1/SUMIFS('Vehicle data-proc2023'!AO$20:AO$111,'Vehicle data-proc2023'!$N$20:$N$111,Analytica!$C72,'Vehicle data-proc2023'!$Q$20:$Q$111,RIGHT(Analytica!$D72,3))</f>
        <v>0.19960895061701436</v>
      </c>
      <c r="AE72" s="808">
        <f>1/SUMIFS('Vehicle data-proc2023'!AP$20:AP$111,'Vehicle data-proc2023'!$N$20:$N$111,Analytica!$C72,'Vehicle data-proc2023'!$Q$20:$Q$111,RIGHT(Analytica!$D72,3))</f>
        <v>0.22071307706432722</v>
      </c>
      <c r="AF72" s="808"/>
      <c r="AH72" s="80">
        <v>489.02730000000003</v>
      </c>
      <c r="AI72" s="814">
        <v>295.00710125625767</v>
      </c>
      <c r="AJ72" s="80"/>
      <c r="AK72" s="809">
        <f>SUMIFS('Vehicle data-proc2023'!AD$20:AD$111,'Vehicle data-proc2023'!$N$20:$N$111,Analytica!$C72,'Vehicle data-proc2023'!$Q$20:$Q$111,RIGHT(Analytica!$D72,3))/1000</f>
        <v>396.20416314100021</v>
      </c>
      <c r="AL72" s="809">
        <f>SUMIFS('Vehicle data-proc2023'!AE$20:AE$111,'Vehicle data-proc2023'!$N$20:$N$111,Analytica!$C72,'Vehicle data-proc2023'!$Q$20:$Q$111,RIGHT(Analytica!$D72,3))/1000</f>
        <v>476.74778352540619</v>
      </c>
      <c r="AM72" s="809">
        <f>SUMIFS('Vehicle data-proc2023'!AF$20:AF$111,'Vehicle data-proc2023'!$N$20:$N$111,Analytica!$C72,'Vehicle data-proc2023'!$Q$20:$Q$111,RIGHT(Analytica!$D72,3))/1000</f>
        <v>491.83197524024433</v>
      </c>
      <c r="AN72" s="809">
        <f>SUMIFS('Vehicle data-proc2023'!AG$20:AG$111,'Vehicle data-proc2023'!$N$20:$N$111,Analytica!$C72,'Vehicle data-proc2023'!$Q$20:$Q$111,RIGHT(Analytica!$D72,3))/1000</f>
        <v>506.91616695508259</v>
      </c>
      <c r="AO72" s="809">
        <f>SUMIFS('Vehicle data-proc2023'!AH$20:AH$111,'Vehicle data-proc2023'!$N$20:$N$111,Analytica!$C72,'Vehicle data-proc2023'!$Q$20:$Q$111,RIGHT(Analytica!$D72,3))/1000</f>
        <v>520.42431194208189</v>
      </c>
      <c r="AP72" s="809">
        <f>SUMIFS('Vehicle data-proc2023'!AI$20:AI$111,'Vehicle data-proc2023'!$N$20:$N$111,Analytica!$C72,'Vehicle data-proc2023'!$Q$20:$Q$111,RIGHT(Analytica!$D72,3))/1000</f>
        <v>533.93245692908113</v>
      </c>
      <c r="AQ72" s="809">
        <f>SUMIFS('Vehicle data-proc2023'!AJ$20:AJ$111,'Vehicle data-proc2023'!$N$20:$N$111,Analytica!$C72,'Vehicle data-proc2023'!$Q$20:$Q$111,RIGHT(Analytica!$D72,3))/1000</f>
        <v>551.67118115070787</v>
      </c>
      <c r="AR72" s="80"/>
      <c r="AT72" s="810">
        <f t="shared" si="39"/>
        <v>2.7E-2</v>
      </c>
      <c r="AU72" s="80">
        <f t="shared" si="40"/>
        <v>10.697512404807005</v>
      </c>
      <c r="AV72" s="80">
        <f t="shared" si="41"/>
        <v>12.872190155185967</v>
      </c>
      <c r="AW72" s="80">
        <f t="shared" si="42"/>
        <v>13.686736507787229</v>
      </c>
      <c r="AX72" s="80">
        <f t="shared" si="43"/>
        <v>14.41617633708519</v>
      </c>
      <c r="AY72" s="811">
        <f t="shared" si="44"/>
        <v>14.895121891069111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06">
        <f t="shared" si="52"/>
        <v>4.8000000000000001E-2</v>
      </c>
      <c r="G73" s="815">
        <f t="shared" si="53"/>
        <v>17100.2801251579</v>
      </c>
      <c r="H73" s="816">
        <f t="shared" si="54"/>
        <v>17100.2801251579</v>
      </c>
      <c r="I73" s="816">
        <f t="shared" si="54"/>
        <v>13451.556778491855</v>
      </c>
      <c r="J73" s="816">
        <f t="shared" si="54"/>
        <v>8323.5999284680747</v>
      </c>
      <c r="K73" s="816">
        <f t="shared" si="54"/>
        <v>1972.0918752186101</v>
      </c>
      <c r="L73" s="816">
        <f t="shared" si="54"/>
        <v>178.90413861851181</v>
      </c>
      <c r="M73" s="816">
        <f t="shared" si="33"/>
        <v>1</v>
      </c>
      <c r="N73" s="816">
        <f t="shared" si="34"/>
        <v>0.78662786106655347</v>
      </c>
      <c r="O73" s="816">
        <f t="shared" si="35"/>
        <v>0.48675225595997168</v>
      </c>
      <c r="P73" s="816">
        <f t="shared" si="36"/>
        <v>0.11532512103806254</v>
      </c>
      <c r="Q73" s="816">
        <f t="shared" si="37"/>
        <v>1.0462058943426802E-2</v>
      </c>
      <c r="R73" s="816">
        <f t="shared" si="38"/>
        <v>5.8478574191822851E-5</v>
      </c>
      <c r="S73" s="168">
        <f t="shared" ref="S73:X73" si="56">$AD$54*S72</f>
        <v>12.49757142857143</v>
      </c>
      <c r="T73" s="168">
        <f t="shared" si="56"/>
        <v>12.01357142857143</v>
      </c>
      <c r="U73" s="168">
        <f t="shared" si="56"/>
        <v>11.316488759629765</v>
      </c>
      <c r="V73" s="168">
        <f t="shared" si="56"/>
        <v>10.501737251772369</v>
      </c>
      <c r="W73" s="168">
        <f t="shared" si="56"/>
        <v>9.745645283429031</v>
      </c>
      <c r="X73" s="168">
        <f t="shared" si="56"/>
        <v>9.0439895527183598</v>
      </c>
      <c r="Z73" s="808">
        <f t="shared" si="55"/>
        <v>0.23396358443708967</v>
      </c>
      <c r="AA73" s="808">
        <f>1/SUMIFS('Vehicle data-proc2023'!AL$20:AL$111,'Vehicle data-proc2023'!$N$20:$N$111,Analytica!$C73,'Vehicle data-proc2023'!$Q$20:$Q$111,RIGHT(Analytica!$D73,3))</f>
        <v>0.14896435210389899</v>
      </c>
      <c r="AB73" s="808">
        <f>1/SUMIFS('Vehicle data-proc2023'!AM$20:AM$111,'Vehicle data-proc2023'!$N$20:$N$111,Analytica!$C73,'Vehicle data-proc2023'!$Q$20:$Q$111,RIGHT(Analytica!$D73,3))</f>
        <v>0.14941214043820444</v>
      </c>
      <c r="AC73" s="808">
        <f>1/SUMIFS('Vehicle data-proc2023'!AN$20:AN$111,'Vehicle data-proc2023'!$N$20:$N$111,Analytica!$C73,'Vehicle data-proc2023'!$Q$20:$Q$111,RIGHT(Analytica!$D73,3))</f>
        <v>0.15788396075106742</v>
      </c>
      <c r="AD73" s="808">
        <f>1/SUMIFS('Vehicle data-proc2023'!AO$20:AO$111,'Vehicle data-proc2023'!$N$20:$N$111,Analytica!$C73,'Vehicle data-proc2023'!$Q$20:$Q$111,RIGHT(Analytica!$D73,3))</f>
        <v>0.17457661436902142</v>
      </c>
      <c r="AE73" s="808">
        <f>1/SUMIFS('Vehicle data-proc2023'!AP$20:AP$111,'Vehicle data-proc2023'!$N$20:$N$111,Analytica!$C73,'Vehicle data-proc2023'!$Q$20:$Q$111,RIGHT(Analytica!$D73,3))</f>
        <v>0.19303413810730588</v>
      </c>
      <c r="AF73" s="808"/>
      <c r="AH73" s="817"/>
      <c r="AI73" s="814">
        <v>199.83569076305221</v>
      </c>
      <c r="AJ73" s="818"/>
      <c r="AK73" s="809">
        <f>SUMIFS('Vehicle data-proc2023'!AD$20:AD$111,'Vehicle data-proc2023'!$N$20:$N$111,Analytica!$C73,'Vehicle data-proc2023'!$Q$20:$Q$111,RIGHT(Analytica!$D73,3))/1000</f>
        <v>312.16401684913149</v>
      </c>
      <c r="AL73" s="809">
        <f>SUMIFS('Vehicle data-proc2023'!AE$20:AE$111,'Vehicle data-proc2023'!$N$20:$N$111,Analytica!$C73,'Vehicle data-proc2023'!$Q$20:$Q$111,RIGHT(Analytica!$D73,3))/1000</f>
        <v>375.62326945122987</v>
      </c>
      <c r="AM73" s="809">
        <f>SUMIFS('Vehicle data-proc2023'!AF$20:AF$111,'Vehicle data-proc2023'!$N$20:$N$111,Analytica!$C73,'Vehicle data-proc2023'!$Q$20:$Q$111,RIGHT(Analytica!$D73,3))/1000</f>
        <v>387.50790448205998</v>
      </c>
      <c r="AN73" s="809">
        <f>SUMIFS('Vehicle data-proc2023'!AG$20:AG$111,'Vehicle data-proc2023'!$N$20:$N$111,Analytica!$C73,'Vehicle data-proc2023'!$Q$20:$Q$111,RIGHT(Analytica!$D73,3))/1000</f>
        <v>399.39253951289021</v>
      </c>
      <c r="AO73" s="809">
        <f>SUMIFS('Vehicle data-proc2023'!AH$20:AH$111,'Vehicle data-proc2023'!$N$20:$N$111,Analytica!$C73,'Vehicle data-proc2023'!$Q$20:$Q$111,RIGHT(Analytica!$D73,3))/1000</f>
        <v>410.03542818395528</v>
      </c>
      <c r="AP73" s="809">
        <f>SUMIFS('Vehicle data-proc2023'!AI$20:AI$111,'Vehicle data-proc2023'!$N$20:$N$111,Analytica!$C73,'Vehicle data-proc2023'!$Q$20:$Q$111,RIGHT(Analytica!$D73,3))/1000</f>
        <v>420.67831685502017</v>
      </c>
      <c r="AQ73" s="809">
        <f>SUMIFS('Vehicle data-proc2023'!AJ$20:AJ$111,'Vehicle data-proc2023'!$N$20:$N$111,Analytica!$C73,'Vehicle data-proc2023'!$Q$20:$Q$111,RIGHT(Analytica!$D73,3))/1000</f>
        <v>434.65442291837672</v>
      </c>
      <c r="AR73" s="817"/>
      <c r="AS73" s="819">
        <f>(1+'Vehicle data-proc2023'!$J$102)*AT73</f>
        <v>2.4299999999999999E-2</v>
      </c>
      <c r="AT73" s="819">
        <f t="shared" si="39"/>
        <v>2.7E-2</v>
      </c>
      <c r="AU73" s="80">
        <f t="shared" si="40"/>
        <v>8.42842845492655</v>
      </c>
      <c r="AV73" s="80">
        <f t="shared" si="41"/>
        <v>10.141828275183206</v>
      </c>
      <c r="AW73" s="80">
        <f t="shared" si="42"/>
        <v>10.783598566848035</v>
      </c>
      <c r="AX73" s="80">
        <f t="shared" si="43"/>
        <v>11.358314555085544</v>
      </c>
      <c r="AY73" s="811">
        <f t="shared" si="44"/>
        <v>11.735669418796171</v>
      </c>
      <c r="BA73" s="190">
        <f t="shared" si="49"/>
        <v>0</v>
      </c>
      <c r="BC73" s="189"/>
    </row>
    <row r="74" spans="1:57" x14ac:dyDescent="0.25">
      <c r="A74" s="61" t="str">
        <f t="shared" si="31"/>
        <v>CV2ODS</v>
      </c>
      <c r="B74" s="61" t="str">
        <f t="shared" si="51"/>
        <v>TFHCV2ODS-N</v>
      </c>
      <c r="C74" s="61" t="s">
        <v>511</v>
      </c>
      <c r="D74" s="61" t="s">
        <v>549</v>
      </c>
      <c r="E74" t="s">
        <v>263</v>
      </c>
      <c r="F74" s="806">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61">
        <v>22.685167417999999</v>
      </c>
      <c r="T74" s="80">
        <v>21.8</v>
      </c>
      <c r="U74" s="187">
        <f t="shared" ref="U74:X81" si="57">S74/((1+U$53)^(U$58-T$58))</f>
        <v>21.368869667314517</v>
      </c>
      <c r="V74" s="187">
        <f t="shared" si="57"/>
        <v>20.230468739150471</v>
      </c>
      <c r="W74" s="187">
        <f t="shared" si="57"/>
        <v>19.830378430990233</v>
      </c>
      <c r="X74" s="187">
        <f t="shared" si="57"/>
        <v>18.773938780080019</v>
      </c>
      <c r="Z74" s="808">
        <f t="shared" si="55"/>
        <v>0.1123223969920529</v>
      </c>
      <c r="AA74" s="808">
        <f>1/SUMIFS('Vehicle data-proc2023'!AL$20:AL$111,'Vehicle data-proc2023'!$N$20:$N$111,Analytica!$C74,'Vehicle data-proc2023'!$Q$20:$Q$111,RIGHT(Analytica!$D74,3))</f>
        <v>0.13643182834537301</v>
      </c>
      <c r="AB74" s="808">
        <f>1/SUMIFS('Vehicle data-proc2023'!AM$20:AM$111,'Vehicle data-proc2023'!$N$20:$N$111,Analytica!$C74,'Vehicle data-proc2023'!$Q$20:$Q$111,RIGHT(Analytica!$D74,3))</f>
        <v>0.13684194378774683</v>
      </c>
      <c r="AC74" s="808">
        <f>1/SUMIFS('Vehicle data-proc2023'!AN$20:AN$111,'Vehicle data-proc2023'!$N$20:$N$111,Analytica!$C74,'Vehicle data-proc2023'!$Q$20:$Q$111,RIGHT(Analytica!$D74,3))</f>
        <v>0.14460102116681806</v>
      </c>
      <c r="AD74" s="808">
        <f>1/SUMIFS('Vehicle data-proc2023'!AO$20:AO$111,'Vehicle data-proc2023'!$N$20:$N$111,Analytica!$C74,'Vehicle data-proc2023'!$Q$20:$Q$111,RIGHT(Analytica!$D74,3))</f>
        <v>0.15988930471162904</v>
      </c>
      <c r="AE74" s="808">
        <f>1/SUMIFS('Vehicle data-proc2023'!AP$20:AP$111,'Vehicle data-proc2023'!$N$20:$N$111,Analytica!$C74,'Vehicle data-proc2023'!$Q$20:$Q$111,RIGHT(Analytica!$D74,3))</f>
        <v>0.17679397804304392</v>
      </c>
      <c r="AF74" s="808"/>
      <c r="AH74" s="80"/>
      <c r="AI74" s="814">
        <v>381.46697397769515</v>
      </c>
      <c r="AJ74" s="80"/>
      <c r="AK74" s="809">
        <f>SUMIFS('Vehicle data-proc2023'!AD$20:AD$111,'Vehicle data-proc2023'!$N$20:$N$111,Analytica!$C74,'Vehicle data-proc2023'!$Q$20:$Q$111,RIGHT(Analytica!$D74,3))/1000</f>
        <v>396.20416314100021</v>
      </c>
      <c r="AL74" s="809">
        <f>SUMIFS('Vehicle data-proc2023'!AE$20:AE$111,'Vehicle data-proc2023'!$N$20:$N$111,Analytica!$C74,'Vehicle data-proc2023'!$Q$20:$Q$111,RIGHT(Analytica!$D74,3))/1000</f>
        <v>476.74778352540619</v>
      </c>
      <c r="AM74" s="809">
        <f>SUMIFS('Vehicle data-proc2023'!AF$20:AF$111,'Vehicle data-proc2023'!$N$20:$N$111,Analytica!$C74,'Vehicle data-proc2023'!$Q$20:$Q$111,RIGHT(Analytica!$D74,3))/1000</f>
        <v>491.83197524024433</v>
      </c>
      <c r="AN74" s="809">
        <f>SUMIFS('Vehicle data-proc2023'!AG$20:AG$111,'Vehicle data-proc2023'!$N$20:$N$111,Analytica!$C74,'Vehicle data-proc2023'!$Q$20:$Q$111,RIGHT(Analytica!$D74,3))/1000</f>
        <v>506.91616695508259</v>
      </c>
      <c r="AO74" s="809">
        <f>SUMIFS('Vehicle data-proc2023'!AH$20:AH$111,'Vehicle data-proc2023'!$N$20:$N$111,Analytica!$C74,'Vehicle data-proc2023'!$Q$20:$Q$111,RIGHT(Analytica!$D74,3))/1000</f>
        <v>520.42431194208189</v>
      </c>
      <c r="AP74" s="809">
        <f>SUMIFS('Vehicle data-proc2023'!AI$20:AI$111,'Vehicle data-proc2023'!$N$20:$N$111,Analytica!$C74,'Vehicle data-proc2023'!$Q$20:$Q$111,RIGHT(Analytica!$D74,3))/1000</f>
        <v>533.93245692908113</v>
      </c>
      <c r="AQ74" s="809">
        <f>SUMIFS('Vehicle data-proc2023'!AJ$20:AJ$111,'Vehicle data-proc2023'!$N$20:$N$111,Analytica!$C74,'Vehicle data-proc2023'!$Q$20:$Q$111,RIGHT(Analytica!$D74,3))/1000</f>
        <v>551.67118115070787</v>
      </c>
      <c r="AR74" s="80"/>
      <c r="AT74" s="810">
        <f t="shared" si="39"/>
        <v>2.7E-2</v>
      </c>
      <c r="AU74" s="80">
        <f t="shared" si="40"/>
        <v>10.697512404807005</v>
      </c>
      <c r="AV74" s="80">
        <f t="shared" si="41"/>
        <v>12.872190155185967</v>
      </c>
      <c r="AW74" s="80">
        <f t="shared" si="42"/>
        <v>13.686736507787229</v>
      </c>
      <c r="AX74" s="80">
        <f t="shared" si="43"/>
        <v>14.41617633708519</v>
      </c>
      <c r="AY74" s="811">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806">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61">
        <v>23.101409021999999</v>
      </c>
      <c r="T75" s="80">
        <v>22.2</v>
      </c>
      <c r="U75" s="187">
        <f t="shared" si="57"/>
        <v>21.760959019008361</v>
      </c>
      <c r="V75" s="187">
        <f t="shared" si="57"/>
        <v>20.601670000419286</v>
      </c>
      <c r="W75" s="187">
        <f t="shared" si="57"/>
        <v>20.194238585687302</v>
      </c>
      <c r="X75" s="187">
        <f t="shared" si="57"/>
        <v>19.118414720998921</v>
      </c>
      <c r="Z75" s="808">
        <f t="shared" si="55"/>
        <v>0.11029857001922312</v>
      </c>
      <c r="AA75" s="808">
        <f>1/SUMIFS('Vehicle data-proc2023'!AL$20:AL$111,'Vehicle data-proc2023'!$N$20:$N$111,Analytica!$C75,'Vehicle data-proc2023'!$Q$20:$Q$111,RIGHT(Analytica!$D75,3))</f>
        <v>0.119281768417066</v>
      </c>
      <c r="AB75" s="808">
        <f>1/SUMIFS('Vehicle data-proc2023'!AM$20:AM$111,'Vehicle data-proc2023'!$N$20:$N$111,Analytica!$C75,'Vehicle data-proc2023'!$Q$20:$Q$111,RIGHT(Analytica!$D75,3))</f>
        <v>0.11964033060753712</v>
      </c>
      <c r="AC75" s="808">
        <f>1/SUMIFS('Vehicle data-proc2023'!AN$20:AN$111,'Vehicle data-proc2023'!$N$20:$N$111,Analytica!$C75,'Vehicle data-proc2023'!$Q$20:$Q$111,RIGHT(Analytica!$D75,3))</f>
        <v>0.12642405902549511</v>
      </c>
      <c r="AD75" s="808">
        <f>1/SUMIFS('Vehicle data-proc2023'!AO$20:AO$111,'Vehicle data-proc2023'!$N$20:$N$111,Analytica!$C75,'Vehicle data-proc2023'!$Q$20:$Q$111,RIGHT(Analytica!$D75,3))</f>
        <v>0.13979054043531805</v>
      </c>
      <c r="AE75" s="808">
        <f>1/SUMIFS('Vehicle data-proc2023'!AP$20:AP$111,'Vehicle data-proc2023'!$N$20:$N$111,Analytica!$C75,'Vehicle data-proc2023'!$Q$20:$Q$111,RIGHT(Analytica!$D75,3))</f>
        <v>0.15457022457456068</v>
      </c>
      <c r="AF75" s="808"/>
      <c r="AH75" s="80"/>
      <c r="AI75" s="814">
        <v>529.30025038783742</v>
      </c>
      <c r="AJ75" s="80"/>
      <c r="AK75" s="809">
        <f>SUMIFS('Vehicle data-proc2023'!AD$20:AD$111,'Vehicle data-proc2023'!$N$20:$N$111,Analytica!$C75,'Vehicle data-proc2023'!$Q$20:$Q$111,RIGHT(Analytica!$D75,3))/1000</f>
        <v>396.20416314100021</v>
      </c>
      <c r="AL75" s="809">
        <f>SUMIFS('Vehicle data-proc2023'!AE$20:AE$111,'Vehicle data-proc2023'!$N$20:$N$111,Analytica!$C75,'Vehicle data-proc2023'!$Q$20:$Q$111,RIGHT(Analytica!$D75,3))/1000</f>
        <v>476.74778352540619</v>
      </c>
      <c r="AM75" s="809">
        <f>SUMIFS('Vehicle data-proc2023'!AF$20:AF$111,'Vehicle data-proc2023'!$N$20:$N$111,Analytica!$C75,'Vehicle data-proc2023'!$Q$20:$Q$111,RIGHT(Analytica!$D75,3))/1000</f>
        <v>491.83197524024433</v>
      </c>
      <c r="AN75" s="809">
        <f>SUMIFS('Vehicle data-proc2023'!AG$20:AG$111,'Vehicle data-proc2023'!$N$20:$N$111,Analytica!$C75,'Vehicle data-proc2023'!$Q$20:$Q$111,RIGHT(Analytica!$D75,3))/1000</f>
        <v>506.91616695508259</v>
      </c>
      <c r="AO75" s="809">
        <f>SUMIFS('Vehicle data-proc2023'!AH$20:AH$111,'Vehicle data-proc2023'!$N$20:$N$111,Analytica!$C75,'Vehicle data-proc2023'!$Q$20:$Q$111,RIGHT(Analytica!$D75,3))/1000</f>
        <v>520.42431194208189</v>
      </c>
      <c r="AP75" s="809">
        <f>SUMIFS('Vehicle data-proc2023'!AI$20:AI$111,'Vehicle data-proc2023'!$N$20:$N$111,Analytica!$C75,'Vehicle data-proc2023'!$Q$20:$Q$111,RIGHT(Analytica!$D75,3))/1000</f>
        <v>533.93245692908113</v>
      </c>
      <c r="AQ75" s="809">
        <f>SUMIFS('Vehicle data-proc2023'!AJ$20:AJ$111,'Vehicle data-proc2023'!$N$20:$N$111,Analytica!$C75,'Vehicle data-proc2023'!$Q$20:$Q$111,RIGHT(Analytica!$D75,3))/1000</f>
        <v>551.67118115070787</v>
      </c>
      <c r="AR75" s="80"/>
      <c r="AT75" s="810">
        <f t="shared" si="39"/>
        <v>2.7E-2</v>
      </c>
      <c r="AU75" s="80">
        <f t="shared" si="40"/>
        <v>10.697512404807005</v>
      </c>
      <c r="AV75" s="80">
        <f t="shared" si="41"/>
        <v>12.872190155185967</v>
      </c>
      <c r="AW75" s="80">
        <f t="shared" si="42"/>
        <v>13.686736507787229</v>
      </c>
      <c r="AX75" s="80">
        <f t="shared" si="43"/>
        <v>14.41617633708519</v>
      </c>
      <c r="AY75" s="811">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806">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61">
        <v>26.639462655999999</v>
      </c>
      <c r="T76" s="80">
        <v>25.6</v>
      </c>
      <c r="U76" s="187">
        <f t="shared" si="57"/>
        <v>25.093718508406038</v>
      </c>
      <c r="V76" s="187">
        <f t="shared" si="57"/>
        <v>23.756880721204226</v>
      </c>
      <c r="W76" s="187">
        <f t="shared" si="57"/>
        <v>23.287049900612381</v>
      </c>
      <c r="X76" s="187">
        <f t="shared" si="57"/>
        <v>22.046460218809568</v>
      </c>
      <c r="Z76" s="808">
        <f t="shared" si="55"/>
        <v>9.5649541188545045E-2</v>
      </c>
      <c r="AA76" s="808">
        <f>1/SUMIFS('Vehicle data-proc2023'!AL$20:AL$111,'Vehicle data-proc2023'!$N$20:$N$111,Analytica!$C76,'Vehicle data-proc2023'!$Q$20:$Q$111,RIGHT(Analytica!$D76,3))</f>
        <v>0.102511485821615</v>
      </c>
      <c r="AB76" s="808">
        <f>1/SUMIFS('Vehicle data-proc2023'!AM$20:AM$111,'Vehicle data-proc2023'!$N$20:$N$111,Analytica!$C76,'Vehicle data-proc2023'!$Q$20:$Q$111,RIGHT(Analytica!$D76,3))</f>
        <v>0.10281963637464944</v>
      </c>
      <c r="AC76" s="808">
        <f>1/SUMIFS('Vehicle data-proc2023'!AN$20:AN$111,'Vehicle data-proc2023'!$N$20:$N$111,Analytica!$C76,'Vehicle data-proc2023'!$Q$20:$Q$111,RIGHT(Analytica!$D76,3))</f>
        <v>0.10864961432319646</v>
      </c>
      <c r="AD76" s="808">
        <f>1/SUMIFS('Vehicle data-proc2023'!AO$20:AO$111,'Vehicle data-proc2023'!$N$20:$N$111,Analytica!$C76,'Vehicle data-proc2023'!$Q$20:$Q$111,RIGHT(Analytica!$D76,3))</f>
        <v>0.12013685070233035</v>
      </c>
      <c r="AE76" s="808">
        <f>1/SUMIFS('Vehicle data-proc2023'!AP$20:AP$111,'Vehicle data-proc2023'!$N$20:$N$111,Analytica!$C76,'Vehicle data-proc2023'!$Q$20:$Q$111,RIGHT(Analytica!$D76,3))</f>
        <v>0.13283860220378738</v>
      </c>
      <c r="AF76" s="808"/>
      <c r="AH76" s="80"/>
      <c r="AI76" s="814">
        <v>754.30982933884297</v>
      </c>
      <c r="AJ76" s="80"/>
      <c r="AK76" s="809">
        <f>SUMIFS('Vehicle data-proc2023'!AD$20:AD$111,'Vehicle data-proc2023'!$N$20:$N$111,Analytica!$C76,'Vehicle data-proc2023'!$Q$20:$Q$111,RIGHT(Analytica!$D76,3))/1000</f>
        <v>1137.3448503307652</v>
      </c>
      <c r="AL76" s="809">
        <f>SUMIFS('Vehicle data-proc2023'!AE$20:AE$111,'Vehicle data-proc2023'!$N$20:$N$111,Analytica!$C76,'Vehicle data-proc2023'!$Q$20:$Q$111,RIGHT(Analytica!$D76,3))/1000</f>
        <v>1383.611708864506</v>
      </c>
      <c r="AM76" s="809">
        <f>SUMIFS('Vehicle data-proc2023'!AF$20:AF$111,'Vehicle data-proc2023'!$N$20:$N$111,Analytica!$C76,'Vehicle data-proc2023'!$Q$20:$Q$111,RIGHT(Analytica!$D76,3))/1000</f>
        <v>1421.7427272348689</v>
      </c>
      <c r="AN76" s="809">
        <f>SUMIFS('Vehicle data-proc2023'!AG$20:AG$111,'Vehicle data-proc2023'!$N$20:$N$111,Analytica!$C76,'Vehicle data-proc2023'!$Q$20:$Q$111,RIGHT(Analytica!$D76,3))/1000</f>
        <v>1459.8737456052315</v>
      </c>
      <c r="AO76" s="809">
        <f>SUMIFS('Vehicle data-proc2023'!AH$20:AH$111,'Vehicle data-proc2023'!$N$20:$N$111,Analytica!$C76,'Vehicle data-proc2023'!$Q$20:$Q$111,RIGHT(Analytica!$D76,3))/1000</f>
        <v>1490.8275195919412</v>
      </c>
      <c r="AP76" s="809">
        <f>SUMIFS('Vehicle data-proc2023'!AI$20:AI$111,'Vehicle data-proc2023'!$N$20:$N$111,Analytica!$C76,'Vehicle data-proc2023'!$Q$20:$Q$111,RIGHT(Analytica!$D76,3))/1000</f>
        <v>1521.7812935786508</v>
      </c>
      <c r="AQ76" s="809">
        <f>SUMIFS('Vehicle data-proc2023'!AJ$20:AJ$111,'Vehicle data-proc2023'!$N$20:$N$111,Analytica!$C76,'Vehicle data-proc2023'!$Q$20:$Q$111,RIGHT(Analytica!$D76,3))/1000</f>
        <v>1578.8036770707315</v>
      </c>
      <c r="AR76" s="80"/>
      <c r="AT76" s="810">
        <f t="shared" si="39"/>
        <v>2.7E-2</v>
      </c>
      <c r="AU76" s="80">
        <f t="shared" si="40"/>
        <v>30.70831095893066</v>
      </c>
      <c r="AV76" s="80">
        <f t="shared" si="41"/>
        <v>37.357516139341662</v>
      </c>
      <c r="AW76" s="80">
        <f t="shared" si="42"/>
        <v>39.416591131341249</v>
      </c>
      <c r="AX76" s="80">
        <f t="shared" si="43"/>
        <v>41.088094926623569</v>
      </c>
      <c r="AY76" s="811">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06">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61">
        <v>33.507449121999997</v>
      </c>
      <c r="T77" s="80">
        <v>32.200000000000003</v>
      </c>
      <c r="U77" s="187">
        <f t="shared" si="57"/>
        <v>31.563192811354469</v>
      </c>
      <c r="V77" s="187">
        <f t="shared" si="57"/>
        <v>29.88170153213969</v>
      </c>
      <c r="W77" s="187">
        <f t="shared" si="57"/>
        <v>29.29074245311401</v>
      </c>
      <c r="X77" s="187">
        <f t="shared" si="57"/>
        <v>27.730313243971409</v>
      </c>
      <c r="Z77" s="808">
        <f t="shared" si="55"/>
        <v>7.6044355727538926E-2</v>
      </c>
      <c r="AA77" s="808">
        <f>1/SUMIFS('Vehicle data-proc2023'!AL$20:AL$111,'Vehicle data-proc2023'!$N$20:$N$111,Analytica!$C77,'Vehicle data-proc2023'!$Q$20:$Q$111,RIGHT(Analytica!$D77,3))</f>
        <v>9.4439576839910805E-2</v>
      </c>
      <c r="AB77" s="808">
        <f>1/SUMIFS('Vehicle data-proc2023'!AM$20:AM$111,'Vehicle data-proc2023'!$N$20:$N$111,Analytica!$C77,'Vehicle data-proc2023'!$Q$20:$Q$111,RIGHT(Analytica!$D77,3))</f>
        <v>9.4723463153705931E-2</v>
      </c>
      <c r="AC77" s="808">
        <f>1/SUMIFS('Vehicle data-proc2023'!AN$20:AN$111,'Vehicle data-proc2023'!$N$20:$N$111,Analytica!$C77,'Vehicle data-proc2023'!$Q$20:$Q$111,RIGHT(Analytica!$D77,3))</f>
        <v>0.1000943798469327</v>
      </c>
      <c r="AD77" s="808">
        <f>1/SUMIFS('Vehicle data-proc2023'!AO$20:AO$111,'Vehicle data-proc2023'!$N$20:$N$111,Analytica!$C77,'Vehicle data-proc2023'!$Q$20:$Q$111,RIGHT(Analytica!$D77,3))</f>
        <v>0.11067709391073265</v>
      </c>
      <c r="AE77" s="808">
        <f>1/SUMIFS('Vehicle data-proc2023'!AP$20:AP$111,'Vehicle data-proc2023'!$N$20:$N$111,Analytica!$C77,'Vehicle data-proc2023'!$Q$20:$Q$111,RIGHT(Analytica!$D77,3))</f>
        <v>0.12237869034462585</v>
      </c>
      <c r="AF77" s="808"/>
      <c r="AH77" s="80"/>
      <c r="AI77" s="814">
        <v>822.6622572509458</v>
      </c>
      <c r="AJ77" s="80"/>
      <c r="AK77" s="809">
        <f>SUMIFS('Vehicle data-proc2023'!AD$20:AD$111,'Vehicle data-proc2023'!$N$20:$N$111,Analytica!$C77,'Vehicle data-proc2023'!$Q$20:$Q$111,RIGHT(Analytica!$D77,3))/1000</f>
        <v>685.85455456102898</v>
      </c>
      <c r="AL77" s="809">
        <f>SUMIFS('Vehicle data-proc2023'!AE$20:AE$111,'Vehicle data-proc2023'!$N$20:$N$111,Analytica!$C77,'Vehicle data-proc2023'!$Q$20:$Q$111,RIGHT(Analytica!$D77,3))/1000</f>
        <v>827.72774685699324</v>
      </c>
      <c r="AM77" s="809">
        <f>SUMIFS('Vehicle data-proc2023'!AF$20:AF$111,'Vehicle data-proc2023'!$N$20:$N$111,Analytica!$C77,'Vehicle data-proc2023'!$Q$20:$Q$111,RIGHT(Analytica!$D77,3))/1000</f>
        <v>854.49709320833597</v>
      </c>
      <c r="AN77" s="809">
        <f>SUMIFS('Vehicle data-proc2023'!AG$20:AG$111,'Vehicle data-proc2023'!$N$20:$N$111,Analytica!$C77,'Vehicle data-proc2023'!$Q$20:$Q$111,RIGHT(Analytica!$D77,3))/1000</f>
        <v>881.26643955967904</v>
      </c>
      <c r="AO77" s="809">
        <f>SUMIFS('Vehicle data-proc2023'!AH$20:AH$111,'Vehicle data-proc2023'!$N$20:$N$111,Analytica!$C77,'Vehicle data-proc2023'!$Q$20:$Q$111,RIGHT(Analytica!$D77,3))/1000</f>
        <v>898.44787511458867</v>
      </c>
      <c r="AP77" s="809">
        <f>SUMIFS('Vehicle data-proc2023'!AI$20:AI$111,'Vehicle data-proc2023'!$N$20:$N$111,Analytica!$C77,'Vehicle data-proc2023'!$Q$20:$Q$111,RIGHT(Analytica!$D77,3))/1000</f>
        <v>915.62931066949807</v>
      </c>
      <c r="AQ77" s="809">
        <f>SUMIFS('Vehicle data-proc2023'!AJ$20:AJ$111,'Vehicle data-proc2023'!$N$20:$N$111,Analytica!$C77,'Vehicle data-proc2023'!$Q$20:$Q$111,RIGHT(Analytica!$D77,3))/1000</f>
        <v>945.21587798179326</v>
      </c>
      <c r="AR77" s="80"/>
      <c r="AT77" s="810">
        <f t="shared" si="39"/>
        <v>2.7E-2</v>
      </c>
      <c r="AU77" s="80">
        <f t="shared" si="40"/>
        <v>18.518072973147781</v>
      </c>
      <c r="AV77" s="80">
        <f t="shared" si="41"/>
        <v>22.348649165138816</v>
      </c>
      <c r="AW77" s="80">
        <f t="shared" si="42"/>
        <v>23.794193868111336</v>
      </c>
      <c r="AX77" s="80">
        <f t="shared" si="43"/>
        <v>24.721991388076447</v>
      </c>
      <c r="AY77" s="811">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806">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61">
        <v>32.258724309999998</v>
      </c>
      <c r="T78" s="80">
        <v>31</v>
      </c>
      <c r="U78" s="187">
        <f t="shared" si="57"/>
        <v>30.386924756272936</v>
      </c>
      <c r="V78" s="187">
        <f t="shared" si="57"/>
        <v>28.76809774833324</v>
      </c>
      <c r="W78" s="187">
        <f t="shared" si="57"/>
        <v>28.199161989022805</v>
      </c>
      <c r="X78" s="187">
        <f t="shared" si="57"/>
        <v>26.696885421214709</v>
      </c>
      <c r="Z78" s="808">
        <f t="shared" si="55"/>
        <v>7.8988008207314622E-2</v>
      </c>
      <c r="AA78" s="808">
        <f>1/SUMIFS('Vehicle data-proc2023'!AL$20:AL$111,'Vehicle data-proc2023'!$N$20:$N$111,Analytica!$C78,'Vehicle data-proc2023'!$Q$20:$Q$111,RIGHT(Analytica!$D78,3))</f>
        <v>6.5140074152247901E-2</v>
      </c>
      <c r="AB78" s="808">
        <f>1/SUMIFS('Vehicle data-proc2023'!AM$20:AM$111,'Vehicle data-proc2023'!$N$20:$N$111,Analytica!$C78,'Vehicle data-proc2023'!$Q$20:$Q$111,RIGHT(Analytica!$D78,3))</f>
        <v>6.5335885867528767E-2</v>
      </c>
      <c r="AC78" s="808">
        <f>1/SUMIFS('Vehicle data-proc2023'!AN$20:AN$111,'Vehicle data-proc2023'!$N$20:$N$111,Analytica!$C78,'Vehicle data-proc2023'!$Q$20:$Q$111,RIGHT(Analytica!$D78,3))</f>
        <v>6.9040497041882143E-2</v>
      </c>
      <c r="AD78" s="808">
        <f>1/SUMIFS('Vehicle data-proc2023'!AO$20:AO$111,'Vehicle data-proc2023'!$N$20:$N$111,Analytica!$C78,'Vehicle data-proc2023'!$Q$20:$Q$111,RIGHT(Analytica!$D78,3))</f>
        <v>7.6339966204228477E-2</v>
      </c>
      <c r="AE78" s="808">
        <f>1/SUMIFS('Vehicle data-proc2023'!AP$20:AP$111,'Vehicle data-proc2023'!$N$20:$N$111,Analytica!$C78,'Vehicle data-proc2023'!$Q$20:$Q$111,RIGHT(Analytica!$D78,3))</f>
        <v>8.4411188936363318E-2</v>
      </c>
      <c r="AF78" s="808"/>
      <c r="AH78" s="80"/>
      <c r="AI78" s="814">
        <v>1063.2917933651609</v>
      </c>
      <c r="AJ78" s="80"/>
      <c r="AK78" s="809">
        <f>SUMIFS('Vehicle data-proc2023'!AD$20:AD$111,'Vehicle data-proc2023'!$N$20:$N$111,Analytica!$C78,'Vehicle data-proc2023'!$Q$20:$Q$111,RIGHT(Analytica!$D78,3))/1000</f>
        <v>685.85455456102898</v>
      </c>
      <c r="AL78" s="809">
        <f>SUMIFS('Vehicle data-proc2023'!AE$20:AE$111,'Vehicle data-proc2023'!$N$20:$N$111,Analytica!$C78,'Vehicle data-proc2023'!$Q$20:$Q$111,RIGHT(Analytica!$D78,3))/1000</f>
        <v>827.72774685699324</v>
      </c>
      <c r="AM78" s="809">
        <f>SUMIFS('Vehicle data-proc2023'!AF$20:AF$111,'Vehicle data-proc2023'!$N$20:$N$111,Analytica!$C78,'Vehicle data-proc2023'!$Q$20:$Q$111,RIGHT(Analytica!$D78,3))/1000</f>
        <v>854.49709320833597</v>
      </c>
      <c r="AN78" s="809">
        <f>SUMIFS('Vehicle data-proc2023'!AG$20:AG$111,'Vehicle data-proc2023'!$N$20:$N$111,Analytica!$C78,'Vehicle data-proc2023'!$Q$20:$Q$111,RIGHT(Analytica!$D78,3))/1000</f>
        <v>881.26643955967904</v>
      </c>
      <c r="AO78" s="809">
        <f>SUMIFS('Vehicle data-proc2023'!AH$20:AH$111,'Vehicle data-proc2023'!$N$20:$N$111,Analytica!$C78,'Vehicle data-proc2023'!$Q$20:$Q$111,RIGHT(Analytica!$D78,3))/1000</f>
        <v>898.44787511458867</v>
      </c>
      <c r="AP78" s="809">
        <f>SUMIFS('Vehicle data-proc2023'!AI$20:AI$111,'Vehicle data-proc2023'!$N$20:$N$111,Analytica!$C78,'Vehicle data-proc2023'!$Q$20:$Q$111,RIGHT(Analytica!$D78,3))/1000</f>
        <v>915.62931066949807</v>
      </c>
      <c r="AQ78" s="809">
        <f>SUMIFS('Vehicle data-proc2023'!AJ$20:AJ$111,'Vehicle data-proc2023'!$N$20:$N$111,Analytica!$C78,'Vehicle data-proc2023'!$Q$20:$Q$111,RIGHT(Analytica!$D78,3))/1000</f>
        <v>945.21587798179326</v>
      </c>
      <c r="AR78" s="80"/>
      <c r="AT78" s="810">
        <f t="shared" si="39"/>
        <v>2.7E-2</v>
      </c>
      <c r="AU78" s="80">
        <f t="shared" si="40"/>
        <v>18.518072973147781</v>
      </c>
      <c r="AV78" s="80">
        <f t="shared" si="41"/>
        <v>22.348649165138816</v>
      </c>
      <c r="AW78" s="80">
        <f t="shared" si="42"/>
        <v>23.794193868111336</v>
      </c>
      <c r="AX78" s="80">
        <f t="shared" si="43"/>
        <v>24.721991388076447</v>
      </c>
      <c r="AY78" s="811">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806">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61">
        <v>38.190167166999998</v>
      </c>
      <c r="T79" s="80">
        <v>36.700000000000003</v>
      </c>
      <c r="U79" s="187">
        <f t="shared" si="57"/>
        <v>35.974198017910219</v>
      </c>
      <c r="V79" s="187">
        <f t="shared" si="57"/>
        <v>34.057715721413871</v>
      </c>
      <c r="W79" s="187">
        <f t="shared" si="57"/>
        <v>33.384169193456032</v>
      </c>
      <c r="X79" s="187">
        <f t="shared" si="57"/>
        <v>31.605667579309028</v>
      </c>
      <c r="Z79" s="808">
        <f t="shared" si="55"/>
        <v>6.6720115924434692E-2</v>
      </c>
      <c r="AA79" s="808">
        <f>1/SUMIFS('Vehicle data-proc2023'!AL$20:AL$111,'Vehicle data-proc2023'!$N$20:$N$111,Analytica!$C79,'Vehicle data-proc2023'!$Q$20:$Q$111,RIGHT(Analytica!$D79,3))</f>
        <v>7.0317841528990704E-2</v>
      </c>
      <c r="AB79" s="808">
        <f>1/SUMIFS('Vehicle data-proc2023'!AM$20:AM$111,'Vehicle data-proc2023'!$N$20:$N$111,Analytica!$C79,'Vehicle data-proc2023'!$Q$20:$Q$111,RIGHT(Analytica!$D79,3))</f>
        <v>7.0529217664861518E-2</v>
      </c>
      <c r="AC79" s="808">
        <f>1/SUMIFS('Vehicle data-proc2023'!AN$20:AN$111,'Vehicle data-proc2023'!$N$20:$N$111,Analytica!$C79,'Vehicle data-proc2023'!$Q$20:$Q$111,RIGHT(Analytica!$D79,3))</f>
        <v>7.4528296033668062E-2</v>
      </c>
      <c r="AD79" s="808">
        <f>1/SUMIFS('Vehicle data-proc2023'!AO$20:AO$111,'Vehicle data-proc2023'!$N$20:$N$111,Analytica!$C79,'Vehicle data-proc2023'!$Q$20:$Q$111,RIGHT(Analytica!$D79,3))</f>
        <v>8.2407975669954003E-2</v>
      </c>
      <c r="AE79" s="808">
        <f>1/SUMIFS('Vehicle data-proc2023'!AP$20:AP$111,'Vehicle data-proc2023'!$N$20:$N$111,Analytica!$C79,'Vehicle data-proc2023'!$Q$20:$Q$111,RIGHT(Analytica!$D79,3))</f>
        <v>9.1120752994968135E-2</v>
      </c>
      <c r="AF79" s="808"/>
      <c r="AH79" s="80"/>
      <c r="AI79" s="814">
        <v>1190.3888460069998</v>
      </c>
      <c r="AJ79" s="80"/>
      <c r="AK79" s="809">
        <f>SUMIFS('Vehicle data-proc2023'!AD$20:AD$111,'Vehicle data-proc2023'!$N$20:$N$111,Analytica!$C79,'Vehicle data-proc2023'!$Q$20:$Q$111,RIGHT(Analytica!$D79,3))/1000</f>
        <v>1394.803006015125</v>
      </c>
      <c r="AL79" s="809">
        <f>SUMIFS('Vehicle data-proc2023'!AE$20:AE$111,'Vehicle data-proc2023'!$N$20:$N$111,Analytica!$C79,'Vehicle data-proc2023'!$Q$20:$Q$111,RIGHT(Analytica!$D79,3))/1000</f>
        <v>1729.6836457722845</v>
      </c>
      <c r="AM79" s="809">
        <f>SUMIFS('Vehicle data-proc2023'!AF$20:AF$111,'Vehicle data-proc2023'!$N$20:$N$111,Analytica!$C79,'Vehicle data-proc2023'!$Q$20:$Q$111,RIGHT(Analytica!$D79,3))/1000</f>
        <v>1774.39133913615</v>
      </c>
      <c r="AN79" s="809">
        <f>SUMIFS('Vehicle data-proc2023'!AG$20:AG$111,'Vehicle data-proc2023'!$N$20:$N$111,Analytica!$C79,'Vehicle data-proc2023'!$Q$20:$Q$111,RIGHT(Analytica!$D79,3))/1000</f>
        <v>1819.0990325000153</v>
      </c>
      <c r="AO79" s="809">
        <f>SUMIFS('Vehicle data-proc2023'!AH$20:AH$111,'Vehicle data-proc2023'!$N$20:$N$111,Analytica!$C79,'Vehicle data-proc2023'!$Q$20:$Q$111,RIGHT(Analytica!$D79,3))/1000</f>
        <v>1853.9926191889103</v>
      </c>
      <c r="AP79" s="809">
        <f>SUMIFS('Vehicle data-proc2023'!AI$20:AI$111,'Vehicle data-proc2023'!$N$20:$N$111,Analytica!$C79,'Vehicle data-proc2023'!$Q$20:$Q$111,RIGHT(Analytica!$D79,3))/1000</f>
        <v>1888.8862058778054</v>
      </c>
      <c r="AQ79" s="809">
        <f>SUMIFS('Vehicle data-proc2023'!AJ$20:AJ$111,'Vehicle data-proc2023'!$N$20:$N$111,Analytica!$C79,'Vehicle data-proc2023'!$Q$20:$Q$111,RIGHT(Analytica!$D79,3))/1000</f>
        <v>1932.2424666352579</v>
      </c>
      <c r="AR79" s="80"/>
      <c r="AT79" s="810">
        <f t="shared" si="39"/>
        <v>2.7E-2</v>
      </c>
      <c r="AU79" s="80">
        <f t="shared" si="40"/>
        <v>37.659681162408376</v>
      </c>
      <c r="AV79" s="80">
        <f t="shared" si="41"/>
        <v>46.701458435851684</v>
      </c>
      <c r="AW79" s="80">
        <f t="shared" si="42"/>
        <v>49.115673877500413</v>
      </c>
      <c r="AX79" s="80">
        <f t="shared" si="43"/>
        <v>50.999927558700747</v>
      </c>
      <c r="AY79" s="811">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06">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61">
        <v>43.081006014000003</v>
      </c>
      <c r="T80" s="80">
        <v>41.4</v>
      </c>
      <c r="U80" s="187">
        <f t="shared" si="57"/>
        <v>40.581247900312896</v>
      </c>
      <c r="V80" s="187">
        <f t="shared" si="57"/>
        <v>38.419330541322452</v>
      </c>
      <c r="W80" s="187">
        <f t="shared" si="57"/>
        <v>37.659526011146596</v>
      </c>
      <c r="X80" s="187">
        <f t="shared" si="57"/>
        <v>35.653259885106095</v>
      </c>
      <c r="Z80" s="808">
        <f t="shared" si="55"/>
        <v>5.914561001030804E-2</v>
      </c>
      <c r="AA80" s="808">
        <f>1/SUMIFS('Vehicle data-proc2023'!AL$20:AL$111,'Vehicle data-proc2023'!$N$20:$N$111,Analytica!$C80,'Vehicle data-proc2023'!$Q$20:$Q$111,RIGHT(Analytica!$D80,3))</f>
        <v>6.9193607941341495E-2</v>
      </c>
      <c r="AB80" s="808">
        <f>1/SUMIFS('Vehicle data-proc2023'!AM$20:AM$111,'Vehicle data-proc2023'!$N$20:$N$111,Analytica!$C80,'Vehicle data-proc2023'!$Q$20:$Q$111,RIGHT(Analytica!$D80,3))</f>
        <v>6.9401604619788601E-2</v>
      </c>
      <c r="AC80" s="808">
        <f>1/SUMIFS('Vehicle data-proc2023'!AN$20:AN$111,'Vehicle data-proc2023'!$N$20:$N$111,Analytica!$C80,'Vehicle data-proc2023'!$Q$20:$Q$111,RIGHT(Analytica!$D80,3))</f>
        <v>7.3336746182173118E-2</v>
      </c>
      <c r="AD80" s="808">
        <f>1/SUMIFS('Vehicle data-proc2023'!AO$20:AO$111,'Vehicle data-proc2023'!$N$20:$N$111,Analytica!$C80,'Vehicle data-proc2023'!$Q$20:$Q$111,RIGHT(Analytica!$D80,3))</f>
        <v>8.109044640392632E-2</v>
      </c>
      <c r="AE80" s="808">
        <f>1/SUMIFS('Vehicle data-proc2023'!AP$20:AP$111,'Vehicle data-proc2023'!$N$20:$N$111,Analytica!$C80,'Vehicle data-proc2023'!$Q$20:$Q$111,RIGHT(Analytica!$D80,3))</f>
        <v>8.966392484408417E-2</v>
      </c>
      <c r="AF80" s="808"/>
      <c r="AH80" s="80"/>
      <c r="AI80" s="814">
        <f>AI79/AI78*AI79</f>
        <v>1332.6780226650678</v>
      </c>
      <c r="AJ80" s="80"/>
      <c r="AK80" s="809">
        <f>SUMIFS('Vehicle data-proc2023'!AD$20:AD$111,'Vehicle data-proc2023'!$N$20:$N$111,Analytica!$C80,'Vehicle data-proc2023'!$Q$20:$Q$111,RIGHT(Analytica!$D80,3))/1000</f>
        <v>1394.803006015125</v>
      </c>
      <c r="AL80" s="809">
        <f>SUMIFS('Vehicle data-proc2023'!AE$20:AE$111,'Vehicle data-proc2023'!$N$20:$N$111,Analytica!$C80,'Vehicle data-proc2023'!$Q$20:$Q$111,RIGHT(Analytica!$D80,3))/1000</f>
        <v>1729.6836457722845</v>
      </c>
      <c r="AM80" s="809">
        <f>SUMIFS('Vehicle data-proc2023'!AF$20:AF$111,'Vehicle data-proc2023'!$N$20:$N$111,Analytica!$C80,'Vehicle data-proc2023'!$Q$20:$Q$111,RIGHT(Analytica!$D80,3))/1000</f>
        <v>1774.39133913615</v>
      </c>
      <c r="AN80" s="809">
        <f>SUMIFS('Vehicle data-proc2023'!AG$20:AG$111,'Vehicle data-proc2023'!$N$20:$N$111,Analytica!$C80,'Vehicle data-proc2023'!$Q$20:$Q$111,RIGHT(Analytica!$D80,3))/1000</f>
        <v>1819.0990325000153</v>
      </c>
      <c r="AO80" s="809">
        <f>SUMIFS('Vehicle data-proc2023'!AH$20:AH$111,'Vehicle data-proc2023'!$N$20:$N$111,Analytica!$C80,'Vehicle data-proc2023'!$Q$20:$Q$111,RIGHT(Analytica!$D80,3))/1000</f>
        <v>1853.9926191889103</v>
      </c>
      <c r="AP80" s="809">
        <f>SUMIFS('Vehicle data-proc2023'!AI$20:AI$111,'Vehicle data-proc2023'!$N$20:$N$111,Analytica!$C80,'Vehicle data-proc2023'!$Q$20:$Q$111,RIGHT(Analytica!$D80,3))/1000</f>
        <v>1888.8862058778054</v>
      </c>
      <c r="AQ80" s="809">
        <f>SUMIFS('Vehicle data-proc2023'!AJ$20:AJ$111,'Vehicle data-proc2023'!$N$20:$N$111,Analytica!$C80,'Vehicle data-proc2023'!$Q$20:$Q$111,RIGHT(Analytica!$D80,3))/1000</f>
        <v>1932.2424666352579</v>
      </c>
      <c r="AR80" s="80"/>
      <c r="AT80" s="810">
        <f t="shared" si="39"/>
        <v>2.7E-2</v>
      </c>
      <c r="AU80" s="80">
        <f t="shared" si="40"/>
        <v>37.659681162408376</v>
      </c>
      <c r="AV80" s="80">
        <f t="shared" si="41"/>
        <v>46.701458435851684</v>
      </c>
      <c r="AW80" s="80">
        <f t="shared" si="42"/>
        <v>49.115673877500413</v>
      </c>
      <c r="AX80" s="80">
        <f t="shared" si="43"/>
        <v>50.999927558700747</v>
      </c>
      <c r="AY80" s="811">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06">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61">
        <v>52.0302004999999</v>
      </c>
      <c r="T81" s="80">
        <v>49.999999999999901</v>
      </c>
      <c r="U81" s="187">
        <f t="shared" si="57"/>
        <v>49.011168961730448</v>
      </c>
      <c r="V81" s="187">
        <f t="shared" si="57"/>
        <v>46.400157658601906</v>
      </c>
      <c r="W81" s="187">
        <f t="shared" si="57"/>
        <v>45.482519337133468</v>
      </c>
      <c r="X81" s="187">
        <f t="shared" si="57"/>
        <v>43.05949261486235</v>
      </c>
      <c r="Z81" s="808">
        <f t="shared" si="55"/>
        <v>4.8972565088535154E-2</v>
      </c>
      <c r="AA81" s="808">
        <f>1/SUMIFS('Vehicle data-proc2023'!AL$20:AL$111,'Vehicle data-proc2023'!$N$20:$N$111,Analytica!$C81,'Vehicle data-proc2023'!$Q$20:$Q$111,RIGHT(Analytica!$D81,3))</f>
        <v>5.4371364101907703E-2</v>
      </c>
      <c r="AB81" s="808">
        <f>1/SUMIFS('Vehicle data-proc2023'!AM$20:AM$111,'Vehicle data-proc2023'!$N$20:$N$111,Analytica!$C81,'Vehicle data-proc2023'!$Q$20:$Q$111,RIGHT(Analytica!$D81,3))</f>
        <v>5.4534804966928384E-2</v>
      </c>
      <c r="AC81" s="808">
        <f>1/SUMIFS('Vehicle data-proc2023'!AN$20:AN$111,'Vehicle data-proc2023'!$N$20:$N$111,Analytica!$C81,'Vehicle data-proc2023'!$Q$20:$Q$111,RIGHT(Analytica!$D81,3))</f>
        <v>5.7626983869672431E-2</v>
      </c>
      <c r="AD81" s="808">
        <f>1/SUMIFS('Vehicle data-proc2023'!AO$20:AO$111,'Vehicle data-proc2023'!$N$20:$N$111,Analytica!$C81,'Vehicle data-proc2023'!$Q$20:$Q$111,RIGHT(Analytica!$D81,3))</f>
        <v>6.3719732469389584E-2</v>
      </c>
      <c r="AE81" s="808">
        <f>1/SUMIFS('Vehicle data-proc2023'!AP$20:AP$111,'Vehicle data-proc2023'!$N$20:$N$111,Analytica!$C81,'Vehicle data-proc2023'!$Q$20:$Q$111,RIGHT(Analytica!$D81,3))</f>
        <v>7.0456651265195916E-2</v>
      </c>
      <c r="AF81" s="808"/>
      <c r="AH81" s="80"/>
      <c r="AI81" s="814">
        <f>AI80/AI79 *AI80</f>
        <v>1491.9752634207996</v>
      </c>
      <c r="AJ81" s="80"/>
      <c r="AK81" s="809">
        <f>SUMIFS('Vehicle data-proc2023'!AD$20:AD$111,'Vehicle data-proc2023'!$N$20:$N$111,Analytica!$C81,'Vehicle data-proc2023'!$Q$20:$Q$111,RIGHT(Analytica!$D81,3))/1000</f>
        <v>1394.803006015125</v>
      </c>
      <c r="AL81" s="809">
        <f>SUMIFS('Vehicle data-proc2023'!AE$20:AE$111,'Vehicle data-proc2023'!$N$20:$N$111,Analytica!$C81,'Vehicle data-proc2023'!$Q$20:$Q$111,RIGHT(Analytica!$D81,3))/1000</f>
        <v>1729.6836457722845</v>
      </c>
      <c r="AM81" s="809">
        <f>SUMIFS('Vehicle data-proc2023'!AF$20:AF$111,'Vehicle data-proc2023'!$N$20:$N$111,Analytica!$C81,'Vehicle data-proc2023'!$Q$20:$Q$111,RIGHT(Analytica!$D81,3))/1000</f>
        <v>1774.39133913615</v>
      </c>
      <c r="AN81" s="809">
        <f>SUMIFS('Vehicle data-proc2023'!AG$20:AG$111,'Vehicle data-proc2023'!$N$20:$N$111,Analytica!$C81,'Vehicle data-proc2023'!$Q$20:$Q$111,RIGHT(Analytica!$D81,3))/1000</f>
        <v>1819.0990325000153</v>
      </c>
      <c r="AO81" s="809">
        <f>SUMIFS('Vehicle data-proc2023'!AH$20:AH$111,'Vehicle data-proc2023'!$N$20:$N$111,Analytica!$C81,'Vehicle data-proc2023'!$Q$20:$Q$111,RIGHT(Analytica!$D81,3))/1000</f>
        <v>1853.9926191889103</v>
      </c>
      <c r="AP81" s="809">
        <f>SUMIFS('Vehicle data-proc2023'!AI$20:AI$111,'Vehicle data-proc2023'!$N$20:$N$111,Analytica!$C81,'Vehicle data-proc2023'!$Q$20:$Q$111,RIGHT(Analytica!$D81,3))/1000</f>
        <v>1888.8862058778054</v>
      </c>
      <c r="AQ81" s="809">
        <f>SUMIFS('Vehicle data-proc2023'!AJ$20:AJ$111,'Vehicle data-proc2023'!$N$20:$N$111,Analytica!$C81,'Vehicle data-proc2023'!$Q$20:$Q$111,RIGHT(Analytica!$D81,3))/1000</f>
        <v>1932.2424666352579</v>
      </c>
      <c r="AR81" s="80"/>
      <c r="AT81" s="810">
        <f t="shared" si="39"/>
        <v>2.7E-2</v>
      </c>
      <c r="AU81" s="80">
        <f t="shared" si="40"/>
        <v>37.659681162408376</v>
      </c>
      <c r="AV81" s="80">
        <f t="shared" si="41"/>
        <v>46.701458435851684</v>
      </c>
      <c r="AW81" s="80">
        <f t="shared" si="42"/>
        <v>49.115673877500413</v>
      </c>
      <c r="AX81" s="80">
        <f t="shared" si="43"/>
        <v>50.999927558700747</v>
      </c>
      <c r="AY81" s="811">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06">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20">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Z82" s="808">
        <f>Z72/S72*S82</f>
        <v>0.17514398772690015</v>
      </c>
      <c r="AA82" s="808">
        <f>1/SUMIFS('Vehicle data-proc2023'!AL$20:AL$111,'Vehicle data-proc2023'!$N$20:$N$111,Analytica!$C82,'Vehicle data-proc2023'!$Q$20:$Q$111,RIGHT(Analytica!$D82,3))</f>
        <v>0.14810797918786262</v>
      </c>
      <c r="AB82" s="808">
        <f>1/SUMIFS('Vehicle data-proc2023'!AM$20:AM$111,'Vehicle data-proc2023'!$N$20:$N$111,Analytica!$C82,'Vehicle data-proc2023'!$Q$20:$Q$111,RIGHT(Analytica!$D82,3))</f>
        <v>0.14855319325660585</v>
      </c>
      <c r="AC82" s="808">
        <f>1/SUMIFS('Vehicle data-proc2023'!AN$20:AN$111,'Vehicle data-proc2023'!$N$20:$N$111,Analytica!$C82,'Vehicle data-proc2023'!$Q$20:$Q$111,RIGHT(Analytica!$D82,3))</f>
        <v>0.15697631039073517</v>
      </c>
      <c r="AD82" s="808">
        <f>1/SUMIFS('Vehicle data-proc2023'!AO$20:AO$111,'Vehicle data-proc2023'!$N$20:$N$111,Analytica!$C82,'Vehicle data-proc2023'!$Q$20:$Q$111,RIGHT(Analytica!$D82,3))</f>
        <v>0.17357300053653429</v>
      </c>
      <c r="AE82" s="808">
        <f>1/SUMIFS('Vehicle data-proc2023'!AP$20:AP$111,'Vehicle data-proc2023'!$N$20:$N$111,Analytica!$C82,'Vehicle data-proc2023'!$Q$20:$Q$111,RIGHT(Analytica!$D82,3))</f>
        <v>0.19192441483854544</v>
      </c>
      <c r="AF82" s="808"/>
      <c r="AG82" s="812"/>
      <c r="AH82" s="80">
        <f>AH72*(1+$AR$57)</f>
        <v>537.9300300000001</v>
      </c>
      <c r="AI82" s="814">
        <f>AI72*(1+$AR$57)</f>
        <v>324.50781138188347</v>
      </c>
      <c r="AJ82" s="814"/>
      <c r="AK82" s="809">
        <f>SUMIFS('Vehicle data-proc2023'!AD$20:AD$111,'Vehicle data-proc2023'!$N$20:$N$111,Analytica!$C82,'Vehicle data-proc2023'!$Q$20:$Q$111,RIGHT(Analytica!$D82,3))/1000</f>
        <v>598.30930679972266</v>
      </c>
      <c r="AL82" s="809">
        <f>SUMIFS('Vehicle data-proc2023'!AE$20:AE$111,'Vehicle data-proc2023'!$N$20:$N$111,Analytica!$C82,'Vehicle data-proc2023'!$Q$20:$Q$111,RIGHT(Analytica!$D82,3))/1000</f>
        <v>588.99088834881991</v>
      </c>
      <c r="AM82" s="809">
        <f>SUMIFS('Vehicle data-proc2023'!AF$20:AF$111,'Vehicle data-proc2023'!$N$20:$N$111,Analytica!$C82,'Vehicle data-proc2023'!$Q$20:$Q$111,RIGHT(Analytica!$D82,3))/1000</f>
        <v>591.03513773094801</v>
      </c>
      <c r="AN82" s="809">
        <f>SUMIFS('Vehicle data-proc2023'!AG$20:AG$111,'Vehicle data-proc2023'!$N$20:$N$111,Analytica!$C82,'Vehicle data-proc2023'!$Q$20:$Q$111,RIGHT(Analytica!$D82,3))/1000</f>
        <v>593.07938711307622</v>
      </c>
      <c r="AO82" s="809">
        <f>SUMIFS('Vehicle data-proc2023'!AH$20:AH$111,'Vehicle data-proc2023'!$N$20:$N$111,Analytica!$C82,'Vehicle data-proc2023'!$Q$20:$Q$111,RIGHT(Analytica!$D82,3))/1000</f>
        <v>599.60308321858258</v>
      </c>
      <c r="AP82" s="809">
        <f>SUMIFS('Vehicle data-proc2023'!AI$20:AI$111,'Vehicle data-proc2023'!$N$20:$N$111,Analytica!$C82,'Vehicle data-proc2023'!$Q$20:$Q$111,RIGHT(Analytica!$D82,3))/1000</f>
        <v>606.12677932408883</v>
      </c>
      <c r="AQ82" s="809">
        <f>SUMIFS('Vehicle data-proc2023'!AJ$20:AJ$111,'Vehicle data-proc2023'!$N$20:$N$111,Analytica!$C82,'Vehicle data-proc2023'!$Q$20:$Q$111,RIGHT(Analytica!$D82,3))/1000</f>
        <v>615.22177787460362</v>
      </c>
      <c r="AR82" s="80"/>
      <c r="AT82" s="810">
        <f t="shared" si="39"/>
        <v>2.7E-2</v>
      </c>
      <c r="AU82" s="80">
        <f t="shared" si="40"/>
        <v>16.154351283592511</v>
      </c>
      <c r="AV82" s="80">
        <f t="shared" si="41"/>
        <v>15.902753985418137</v>
      </c>
      <c r="AW82" s="80">
        <f t="shared" si="42"/>
        <v>16.013143452053058</v>
      </c>
      <c r="AX82" s="80">
        <f t="shared" si="43"/>
        <v>16.365423041750397</v>
      </c>
      <c r="AY82" s="811">
        <f t="shared" si="44"/>
        <v>16.610988002614299</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06">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20">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Z83" s="808">
        <f t="shared" ref="Z83:Z90" si="63">Z74/S73*S83</f>
        <v>0.23446637247778451</v>
      </c>
      <c r="AA83" s="808">
        <f>1/SUMIFS('Vehicle data-proc2023'!AL$20:AL$111,'Vehicle data-proc2023'!$N$20:$N$111,Analytica!$C83,'Vehicle data-proc2023'!$Q$20:$Q$111,RIGHT(Analytica!$D83,3))</f>
        <v>0.11863637247423742</v>
      </c>
      <c r="AB83" s="808">
        <f>1/SUMIFS('Vehicle data-proc2023'!AM$20:AM$111,'Vehicle data-proc2023'!$N$20:$N$111,Analytica!$C83,'Vehicle data-proc2023'!$Q$20:$Q$111,RIGHT(Analytica!$D83,3))</f>
        <v>0.11899299459804072</v>
      </c>
      <c r="AC83" s="808">
        <f>1/SUMIFS('Vehicle data-proc2023'!AN$20:AN$111,'Vehicle data-proc2023'!$N$20:$N$111,Analytica!$C83,'Vehicle data-proc2023'!$Q$20:$Q$111,RIGHT(Analytica!$D83,3))</f>
        <v>0.12574001840592877</v>
      </c>
      <c r="AD83" s="808">
        <f>1/SUMIFS('Vehicle data-proc2023'!AO$20:AO$111,'Vehicle data-proc2023'!$N$20:$N$111,Analytica!$C83,'Vehicle data-proc2023'!$Q$20:$Q$111,RIGHT(Analytica!$D83,3))</f>
        <v>0.13903417801011222</v>
      </c>
      <c r="AE83" s="808">
        <f>1/SUMIFS('Vehicle data-proc2023'!AP$20:AP$111,'Vehicle data-proc2023'!$N$20:$N$111,Analytica!$C83,'Vehicle data-proc2023'!$Q$20:$Q$111,RIGHT(Analytica!$D83,3))</f>
        <v>0.15373389395047296</v>
      </c>
      <c r="AF83" s="808"/>
      <c r="AG83" s="812"/>
      <c r="AH83" s="80"/>
      <c r="AI83" s="814">
        <f t="shared" ref="AI83:AI90" si="64">AI74*(1+$AR$57)</f>
        <v>419.61367137546472</v>
      </c>
      <c r="AJ83" s="814"/>
      <c r="AK83" s="809">
        <f>SUMIFS('Vehicle data-proc2023'!AD$20:AD$111,'Vehicle data-proc2023'!$N$20:$N$111,Analytica!$C83,'Vehicle data-proc2023'!$Q$20:$Q$111,RIGHT(Analytica!$D83,3))/1000</f>
        <v>598.30930679972266</v>
      </c>
      <c r="AL83" s="809">
        <f>SUMIFS('Vehicle data-proc2023'!AE$20:AE$111,'Vehicle data-proc2023'!$N$20:$N$111,Analytica!$C83,'Vehicle data-proc2023'!$Q$20:$Q$111,RIGHT(Analytica!$D83,3))/1000</f>
        <v>588.99088834881991</v>
      </c>
      <c r="AM83" s="809">
        <f>SUMIFS('Vehicle data-proc2023'!AF$20:AF$111,'Vehicle data-proc2023'!$N$20:$N$111,Analytica!$C83,'Vehicle data-proc2023'!$Q$20:$Q$111,RIGHT(Analytica!$D83,3))/1000</f>
        <v>591.03513773094801</v>
      </c>
      <c r="AN83" s="809">
        <f>SUMIFS('Vehicle data-proc2023'!AG$20:AG$111,'Vehicle data-proc2023'!$N$20:$N$111,Analytica!$C83,'Vehicle data-proc2023'!$Q$20:$Q$111,RIGHT(Analytica!$D83,3))/1000</f>
        <v>593.07938711307622</v>
      </c>
      <c r="AO83" s="809">
        <f>SUMIFS('Vehicle data-proc2023'!AH$20:AH$111,'Vehicle data-proc2023'!$N$20:$N$111,Analytica!$C83,'Vehicle data-proc2023'!$Q$20:$Q$111,RIGHT(Analytica!$D83,3))/1000</f>
        <v>599.60308321858258</v>
      </c>
      <c r="AP83" s="809">
        <f>SUMIFS('Vehicle data-proc2023'!AI$20:AI$111,'Vehicle data-proc2023'!$N$20:$N$111,Analytica!$C83,'Vehicle data-proc2023'!$Q$20:$Q$111,RIGHT(Analytica!$D83,3))/1000</f>
        <v>606.12677932408883</v>
      </c>
      <c r="AQ83" s="809">
        <f>SUMIFS('Vehicle data-proc2023'!AJ$20:AJ$111,'Vehicle data-proc2023'!$N$20:$N$111,Analytica!$C83,'Vehicle data-proc2023'!$Q$20:$Q$111,RIGHT(Analytica!$D83,3))/1000</f>
        <v>615.22177787460362</v>
      </c>
      <c r="AR83" s="80"/>
      <c r="AT83" s="810">
        <f t="shared" si="39"/>
        <v>2.7E-2</v>
      </c>
      <c r="AU83" s="80">
        <f t="shared" si="40"/>
        <v>16.154351283592511</v>
      </c>
      <c r="AV83" s="80">
        <f t="shared" si="41"/>
        <v>15.902753985418137</v>
      </c>
      <c r="AW83" s="80">
        <f t="shared" si="42"/>
        <v>16.013143452053058</v>
      </c>
      <c r="AX83" s="80">
        <f t="shared" si="43"/>
        <v>16.365423041750397</v>
      </c>
      <c r="AY83" s="811">
        <f t="shared" si="44"/>
        <v>16.610988002614299</v>
      </c>
      <c r="BA83" s="164">
        <f t="shared" si="49"/>
        <v>0</v>
      </c>
      <c r="BC83" s="167"/>
      <c r="BD83" s="167"/>
    </row>
    <row r="84" spans="1:56" x14ac:dyDescent="0.25">
      <c r="A84" s="61" t="str">
        <f t="shared" si="31"/>
        <v>CV3GAS</v>
      </c>
      <c r="B84" s="61" t="str">
        <f t="shared" si="51"/>
        <v>TFHCV3GAS-N</v>
      </c>
      <c r="C84" s="61" t="s">
        <v>509</v>
      </c>
      <c r="D84" s="61" t="s">
        <v>547</v>
      </c>
      <c r="E84" s="61" t="s">
        <v>546</v>
      </c>
      <c r="F84" s="806">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20">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Z84" s="808">
        <f t="shared" si="63"/>
        <v>0.12917075654086085</v>
      </c>
      <c r="AA84" s="808">
        <f>1/SUMIFS('Vehicle data-proc2023'!AL$20:AL$111,'Vehicle data-proc2023'!$N$20:$N$111,Analytica!$C84,'Vehicle data-proc2023'!$Q$20:$Q$111,RIGHT(Analytica!$D84,3))</f>
        <v>0.10372327688440522</v>
      </c>
      <c r="AB84" s="808">
        <f>1/SUMIFS('Vehicle data-proc2023'!AM$20:AM$111,'Vehicle data-proc2023'!$N$20:$N$111,Analytica!$C84,'Vehicle data-proc2023'!$Q$20:$Q$111,RIGHT(Analytica!$D84,3))</f>
        <v>0.10403507009351054</v>
      </c>
      <c r="AC84" s="808">
        <f>1/SUMIFS('Vehicle data-proc2023'!AN$20:AN$111,'Vehicle data-proc2023'!$N$20:$N$111,Analytica!$C84,'Vehicle data-proc2023'!$Q$20:$Q$111,RIGHT(Analytica!$D84,3))</f>
        <v>0.10993396436999574</v>
      </c>
      <c r="AD84" s="808">
        <f>1/SUMIFS('Vehicle data-proc2023'!AO$20:AO$111,'Vehicle data-proc2023'!$N$20:$N$111,Analytica!$C84,'Vehicle data-proc2023'!$Q$20:$Q$111,RIGHT(Analytica!$D84,3))</f>
        <v>0.12155699168288527</v>
      </c>
      <c r="AE84" s="808">
        <f>1/SUMIFS('Vehicle data-proc2023'!AP$20:AP$111,'Vehicle data-proc2023'!$N$20:$N$111,Analytica!$C84,'Vehicle data-proc2023'!$Q$20:$Q$111,RIGHT(Analytica!$D84,3))</f>
        <v>0.13440889093440059</v>
      </c>
      <c r="AF84" s="808"/>
      <c r="AG84" s="812"/>
      <c r="AH84" s="80"/>
      <c r="AI84" s="814">
        <f t="shared" si="64"/>
        <v>582.23027542662123</v>
      </c>
      <c r="AJ84" s="814"/>
      <c r="AK84" s="809">
        <f>SUMIFS('Vehicle data-proc2023'!AD$20:AD$111,'Vehicle data-proc2023'!$N$20:$N$111,Analytica!$C84,'Vehicle data-proc2023'!$Q$20:$Q$111,RIGHT(Analytica!$D84,3))/1000</f>
        <v>598.30930679972266</v>
      </c>
      <c r="AL84" s="809">
        <f>SUMIFS('Vehicle data-proc2023'!AE$20:AE$111,'Vehicle data-proc2023'!$N$20:$N$111,Analytica!$C84,'Vehicle data-proc2023'!$Q$20:$Q$111,RIGHT(Analytica!$D84,3))/1000</f>
        <v>588.99088834881991</v>
      </c>
      <c r="AM84" s="809">
        <f>SUMIFS('Vehicle data-proc2023'!AF$20:AF$111,'Vehicle data-proc2023'!$N$20:$N$111,Analytica!$C84,'Vehicle data-proc2023'!$Q$20:$Q$111,RIGHT(Analytica!$D84,3))/1000</f>
        <v>591.03513773094801</v>
      </c>
      <c r="AN84" s="809">
        <f>SUMIFS('Vehicle data-proc2023'!AG$20:AG$111,'Vehicle data-proc2023'!$N$20:$N$111,Analytica!$C84,'Vehicle data-proc2023'!$Q$20:$Q$111,RIGHT(Analytica!$D84,3))/1000</f>
        <v>593.07938711307622</v>
      </c>
      <c r="AO84" s="809">
        <f>SUMIFS('Vehicle data-proc2023'!AH$20:AH$111,'Vehicle data-proc2023'!$N$20:$N$111,Analytica!$C84,'Vehicle data-proc2023'!$Q$20:$Q$111,RIGHT(Analytica!$D84,3))/1000</f>
        <v>599.60308321858258</v>
      </c>
      <c r="AP84" s="809">
        <f>SUMIFS('Vehicle data-proc2023'!AI$20:AI$111,'Vehicle data-proc2023'!$N$20:$N$111,Analytica!$C84,'Vehicle data-proc2023'!$Q$20:$Q$111,RIGHT(Analytica!$D84,3))/1000</f>
        <v>606.12677932408883</v>
      </c>
      <c r="AQ84" s="809">
        <f>SUMIFS('Vehicle data-proc2023'!AJ$20:AJ$111,'Vehicle data-proc2023'!$N$20:$N$111,Analytica!$C84,'Vehicle data-proc2023'!$Q$20:$Q$111,RIGHT(Analytica!$D84,3))/1000</f>
        <v>615.22177787460362</v>
      </c>
      <c r="AR84" s="80"/>
      <c r="AT84" s="810">
        <f t="shared" si="39"/>
        <v>2.7E-2</v>
      </c>
      <c r="AU84" s="80">
        <f t="shared" si="40"/>
        <v>16.154351283592511</v>
      </c>
      <c r="AV84" s="80">
        <f t="shared" si="41"/>
        <v>15.902753985418137</v>
      </c>
      <c r="AW84" s="80">
        <f t="shared" si="42"/>
        <v>16.013143452053058</v>
      </c>
      <c r="AX84" s="80">
        <f t="shared" si="43"/>
        <v>16.365423041750397</v>
      </c>
      <c r="AY84" s="811">
        <f t="shared" si="44"/>
        <v>16.610988002614299</v>
      </c>
      <c r="BA84" s="164">
        <f t="shared" si="49"/>
        <v>0</v>
      </c>
      <c r="BC84" s="167"/>
      <c r="BD84" s="167"/>
    </row>
    <row r="85" spans="1:56" x14ac:dyDescent="0.25">
      <c r="A85" s="61" t="str">
        <f t="shared" si="31"/>
        <v>CV4GAS</v>
      </c>
      <c r="B85" s="61" t="str">
        <f t="shared" si="51"/>
        <v>TFHCV4GAS-N</v>
      </c>
      <c r="C85" s="61" t="s">
        <v>509</v>
      </c>
      <c r="D85" s="61" t="s">
        <v>545</v>
      </c>
      <c r="E85" s="61" t="s">
        <v>544</v>
      </c>
      <c r="F85" s="806">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Z85" s="808">
        <f t="shared" si="63"/>
        <v>0.12684335552210657</v>
      </c>
      <c r="AA85" s="808">
        <f>1/SUMIFS('Vehicle data-proc2023'!AL$20:AL$111,'Vehicle data-proc2023'!$N$20:$N$111,Analytica!$C85,'Vehicle data-proc2023'!$Q$20:$Q$111,RIGHT(Analytica!$D85,3))</f>
        <v>8.9140422453578269E-2</v>
      </c>
      <c r="AB85" s="808">
        <f>1/SUMIFS('Vehicle data-proc2023'!AM$20:AM$111,'Vehicle data-proc2023'!$N$20:$N$111,Analytica!$C85,'Vehicle data-proc2023'!$Q$20:$Q$111,RIGHT(Analytica!$D85,3))</f>
        <v>8.9408379456216935E-2</v>
      </c>
      <c r="AC85" s="808">
        <f>1/SUMIFS('Vehicle data-proc2023'!AN$20:AN$111,'Vehicle data-proc2023'!$N$20:$N$111,Analytica!$C85,'Vehicle data-proc2023'!$Q$20:$Q$111,RIGHT(Analytica!$D85,3))</f>
        <v>9.4477925498431731E-2</v>
      </c>
      <c r="AD85" s="808">
        <f>1/SUMIFS('Vehicle data-proc2023'!AO$20:AO$111,'Vehicle data-proc2023'!$N$20:$N$111,Analytica!$C85,'Vehicle data-proc2023'!$Q$20:$Q$111,RIGHT(Analytica!$D85,3))</f>
        <v>0.10446682669767859</v>
      </c>
      <c r="AE85" s="808">
        <f>1/SUMIFS('Vehicle data-proc2023'!AP$20:AP$111,'Vehicle data-proc2023'!$N$20:$N$111,Analytica!$C85,'Vehicle data-proc2023'!$Q$20:$Q$111,RIGHT(Analytica!$D85,3))</f>
        <v>0.11551182800329342</v>
      </c>
      <c r="AF85" s="808"/>
      <c r="AG85" s="812"/>
      <c r="AH85" s="80"/>
      <c r="AI85" s="814">
        <f t="shared" si="64"/>
        <v>829.74081227272734</v>
      </c>
      <c r="AJ85" s="814"/>
      <c r="AK85" s="809">
        <f>SUMIFS('Vehicle data-proc2023'!AD$20:AD$111,'Vehicle data-proc2023'!$N$20:$N$111,Analytica!$C85,'Vehicle data-proc2023'!$Q$20:$Q$111,RIGHT(Analytica!$D85,3))/1000</f>
        <v>1624.7792570494437</v>
      </c>
      <c r="AL85" s="809">
        <f>SUMIFS('Vehicle data-proc2023'!AE$20:AE$111,'Vehicle data-proc2023'!$N$20:$N$111,Analytica!$C85,'Vehicle data-proc2023'!$Q$20:$Q$111,RIGHT(Analytica!$D85,3))/1000</f>
        <v>1664.8606987788989</v>
      </c>
      <c r="AM85" s="809">
        <f>SUMIFS('Vehicle data-proc2023'!AF$20:AF$111,'Vehicle data-proc2023'!$N$20:$N$111,Analytica!$C85,'Vehicle data-proc2023'!$Q$20:$Q$111,RIGHT(Analytica!$D85,3))/1000</f>
        <v>1668.6300219125192</v>
      </c>
      <c r="AN85" s="809">
        <f>SUMIFS('Vehicle data-proc2023'!AG$20:AG$111,'Vehicle data-proc2023'!$N$20:$N$111,Analytica!$C85,'Vehicle data-proc2023'!$Q$20:$Q$111,RIGHT(Analytica!$D85,3))/1000</f>
        <v>1672.3993450461392</v>
      </c>
      <c r="AO85" s="809">
        <f>SUMIFS('Vehicle data-proc2023'!AH$20:AH$111,'Vehicle data-proc2023'!$N$20:$N$111,Analytica!$C85,'Vehicle data-proc2023'!$Q$20:$Q$111,RIGHT(Analytica!$D85,3))/1000</f>
        <v>1685.2562227432286</v>
      </c>
      <c r="AP85" s="809">
        <f>SUMIFS('Vehicle data-proc2023'!AI$20:AI$111,'Vehicle data-proc2023'!$N$20:$N$111,Analytica!$C85,'Vehicle data-proc2023'!$Q$20:$Q$111,RIGHT(Analytica!$D85,3))/1000</f>
        <v>1698.1131004403182</v>
      </c>
      <c r="AQ85" s="809">
        <f>SUMIFS('Vehicle data-proc2023'!AJ$20:AJ$111,'Vehicle data-proc2023'!$N$20:$N$111,Analytica!$C85,'Vehicle data-proc2023'!$Q$20:$Q$111,RIGHT(Analytica!$D85,3))/1000</f>
        <v>1731.2940437307595</v>
      </c>
      <c r="AR85" s="80"/>
      <c r="AT85" s="810">
        <f t="shared" si="39"/>
        <v>2.7E-2</v>
      </c>
      <c r="AU85" s="80">
        <f t="shared" si="40"/>
        <v>43.869039940334979</v>
      </c>
      <c r="AV85" s="80">
        <f t="shared" si="41"/>
        <v>44.95123886703027</v>
      </c>
      <c r="AW85" s="80">
        <f t="shared" si="42"/>
        <v>45.154782316245758</v>
      </c>
      <c r="AX85" s="80">
        <f t="shared" si="43"/>
        <v>45.849053711888594</v>
      </c>
      <c r="AY85" s="811">
        <f t="shared" si="44"/>
        <v>46.744939180730505</v>
      </c>
      <c r="BA85" s="164">
        <f t="shared" si="49"/>
        <v>0</v>
      </c>
      <c r="BC85" s="167"/>
      <c r="BD85" s="167"/>
    </row>
    <row r="86" spans="1:56" x14ac:dyDescent="0.25">
      <c r="A86" s="61" t="str">
        <f t="shared" si="31"/>
        <v>CV5GAS</v>
      </c>
      <c r="B86" s="61" t="str">
        <f t="shared" si="51"/>
        <v>TFHCV5GAS-N</v>
      </c>
      <c r="C86" s="61" t="s">
        <v>509</v>
      </c>
      <c r="D86" s="61" t="s">
        <v>543</v>
      </c>
      <c r="E86" s="61" t="s">
        <v>542</v>
      </c>
      <c r="F86" s="806">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Z86" s="808">
        <f t="shared" si="63"/>
        <v>0.1099969723668268</v>
      </c>
      <c r="AA86" s="808">
        <f>1/SUMIFS('Vehicle data-proc2023'!AL$20:AL$111,'Vehicle data-proc2023'!$N$20:$N$111,Analytica!$C86,'Vehicle data-proc2023'!$Q$20:$Q$111,RIGHT(Analytica!$D86,3))</f>
        <v>8.2121371165139845E-2</v>
      </c>
      <c r="AB86" s="808">
        <f>1/SUMIFS('Vehicle data-proc2023'!AM$20:AM$111,'Vehicle data-proc2023'!$N$20:$N$111,Analytica!$C86,'Vehicle data-proc2023'!$Q$20:$Q$111,RIGHT(Analytica!$D86,3))</f>
        <v>8.2368228829309525E-2</v>
      </c>
      <c r="AC86" s="808">
        <f>1/SUMIFS('Vehicle data-proc2023'!AN$20:AN$111,'Vehicle data-proc2023'!$N$20:$N$111,Analytica!$C86,'Vehicle data-proc2023'!$Q$20:$Q$111,RIGHT(Analytica!$D86,3))</f>
        <v>8.7038591171245835E-2</v>
      </c>
      <c r="AD86" s="808">
        <f>1/SUMIFS('Vehicle data-proc2023'!AO$20:AO$111,'Vehicle data-proc2023'!$N$20:$N$111,Analytica!$C86,'Vehicle data-proc2023'!$Q$20:$Q$111,RIGHT(Analytica!$D86,3))</f>
        <v>9.6240951226724075E-2</v>
      </c>
      <c r="AE86" s="808">
        <f>1/SUMIFS('Vehicle data-proc2023'!AP$20:AP$111,'Vehicle data-proc2023'!$N$20:$N$111,Analytica!$C86,'Vehicle data-proc2023'!$Q$20:$Q$111,RIGHT(Analytica!$D86,3))</f>
        <v>0.10641625247358774</v>
      </c>
      <c r="AF86" s="808"/>
      <c r="AG86" s="812"/>
      <c r="AH86" s="80"/>
      <c r="AI86" s="814">
        <f t="shared" si="64"/>
        <v>904.92848297604041</v>
      </c>
      <c r="AJ86" s="814"/>
      <c r="AK86" s="809">
        <f>SUMIFS('Vehicle data-proc2023'!AD$20:AD$111,'Vehicle data-proc2023'!$N$20:$N$111,Analytica!$C86,'Vehicle data-proc2023'!$Q$20:$Q$111,RIGHT(Analytica!$D86,3))/1000</f>
        <v>935.58003017164106</v>
      </c>
      <c r="AL86" s="809">
        <f>SUMIFS('Vehicle data-proc2023'!AE$20:AE$111,'Vehicle data-proc2023'!$N$20:$N$111,Analytica!$C86,'Vehicle data-proc2023'!$Q$20:$Q$111,RIGHT(Analytica!$D86,3))/1000</f>
        <v>955.91020610261251</v>
      </c>
      <c r="AM86" s="809">
        <f>SUMIFS('Vehicle data-proc2023'!AF$20:AF$111,'Vehicle data-proc2023'!$N$20:$N$111,Analytica!$C86,'Vehicle data-proc2023'!$Q$20:$Q$111,RIGHT(Analytica!$D86,3))/1000</f>
        <v>961.41375584437571</v>
      </c>
      <c r="AN86" s="809">
        <f>SUMIFS('Vehicle data-proc2023'!AG$20:AG$111,'Vehicle data-proc2023'!$N$20:$N$111,Analytica!$C86,'Vehicle data-proc2023'!$Q$20:$Q$111,RIGHT(Analytica!$D86,3))/1000</f>
        <v>966.91730558613915</v>
      </c>
      <c r="AO86" s="809">
        <f>SUMIFS('Vehicle data-proc2023'!AH$20:AH$111,'Vehicle data-proc2023'!$N$20:$N$111,Analytica!$C86,'Vehicle data-proc2023'!$Q$20:$Q$111,RIGHT(Analytica!$D86,3))/1000</f>
        <v>974.63568364717787</v>
      </c>
      <c r="AP86" s="809">
        <f>SUMIFS('Vehicle data-proc2023'!AI$20:AI$111,'Vehicle data-proc2023'!$N$20:$N$111,Analytica!$C86,'Vehicle data-proc2023'!$Q$20:$Q$111,RIGHT(Analytica!$D86,3))/1000</f>
        <v>982.35406170821636</v>
      </c>
      <c r="AQ86" s="809">
        <f>SUMIFS('Vehicle data-proc2023'!AJ$20:AJ$111,'Vehicle data-proc2023'!$N$20:$N$111,Analytica!$C86,'Vehicle data-proc2023'!$Q$20:$Q$111,RIGHT(Analytica!$D86,3))/1000</f>
        <v>999.53622293291085</v>
      </c>
      <c r="AR86" s="80"/>
      <c r="AT86" s="810">
        <f t="shared" si="39"/>
        <v>2.7E-2</v>
      </c>
      <c r="AU86" s="80">
        <f t="shared" si="40"/>
        <v>25.26066081463431</v>
      </c>
      <c r="AV86" s="80">
        <f t="shared" si="41"/>
        <v>25.809575564770537</v>
      </c>
      <c r="AW86" s="80">
        <f t="shared" si="42"/>
        <v>26.106767250825758</v>
      </c>
      <c r="AX86" s="80">
        <f t="shared" si="43"/>
        <v>26.523559666121841</v>
      </c>
      <c r="AY86" s="811">
        <f t="shared" si="44"/>
        <v>26.987478019188593</v>
      </c>
      <c r="BA86" s="164">
        <f t="shared" si="49"/>
        <v>0</v>
      </c>
      <c r="BC86" s="167"/>
      <c r="BD86" s="167"/>
    </row>
    <row r="87" spans="1:56" x14ac:dyDescent="0.25">
      <c r="A87" s="61" t="str">
        <f t="shared" si="31"/>
        <v>CV6GAS</v>
      </c>
      <c r="B87" s="61" t="str">
        <f t="shared" si="51"/>
        <v>TFHCV6GAS-N</v>
      </c>
      <c r="C87" s="61" t="s">
        <v>509</v>
      </c>
      <c r="D87" s="61" t="s">
        <v>541</v>
      </c>
      <c r="E87" s="61" t="s">
        <v>540</v>
      </c>
      <c r="F87" s="806">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Z87" s="808">
        <f t="shared" si="63"/>
        <v>8.7451009086669751E-2</v>
      </c>
      <c r="AA87" s="808">
        <f>1/SUMIFS('Vehicle data-proc2023'!AL$20:AL$111,'Vehicle data-proc2023'!$N$20:$N$111,Analytica!$C87,'Vehicle data-proc2023'!$Q$20:$Q$111,RIGHT(Analytica!$D87,3))</f>
        <v>5.6643542741085136E-2</v>
      </c>
      <c r="AB87" s="808">
        <f>1/SUMIFS('Vehicle data-proc2023'!AM$20:AM$111,'Vehicle data-proc2023'!$N$20:$N$111,Analytica!$C87,'Vehicle data-proc2023'!$Q$20:$Q$111,RIGHT(Analytica!$D87,3))</f>
        <v>5.6813813797851109E-2</v>
      </c>
      <c r="AC87" s="808">
        <f>1/SUMIFS('Vehicle data-proc2023'!AN$20:AN$111,'Vehicle data-proc2023'!$N$20:$N$111,Analytica!$C87,'Vehicle data-proc2023'!$Q$20:$Q$111,RIGHT(Analytica!$D87,3))</f>
        <v>6.0035214819027953E-2</v>
      </c>
      <c r="AD87" s="808">
        <f>1/SUMIFS('Vehicle data-proc2023'!AO$20:AO$111,'Vehicle data-proc2023'!$N$20:$N$111,Analytica!$C87,'Vehicle data-proc2023'!$Q$20:$Q$111,RIGHT(Analytica!$D87,3))</f>
        <v>6.6382579308024769E-2</v>
      </c>
      <c r="AE87" s="808">
        <f>1/SUMIFS('Vehicle data-proc2023'!AP$20:AP$111,'Vehicle data-proc2023'!$N$20:$N$111,Analytica!$C87,'Vehicle data-proc2023'!$Q$20:$Q$111,RIGHT(Analytica!$D87,3))</f>
        <v>7.3401033857707229E-2</v>
      </c>
      <c r="AF87" s="808"/>
      <c r="AG87" s="812"/>
      <c r="AH87" s="80"/>
      <c r="AI87" s="814">
        <f t="shared" si="64"/>
        <v>1169.6209727016771</v>
      </c>
      <c r="AJ87" s="814"/>
      <c r="AK87" s="809">
        <f>SUMIFS('Vehicle data-proc2023'!AD$20:AD$111,'Vehicle data-proc2023'!$N$20:$N$111,Analytica!$C87,'Vehicle data-proc2023'!$Q$20:$Q$111,RIGHT(Analytica!$D87,3))/1000</f>
        <v>935.58003017164106</v>
      </c>
      <c r="AL87" s="809">
        <f>SUMIFS('Vehicle data-proc2023'!AE$20:AE$111,'Vehicle data-proc2023'!$N$20:$N$111,Analytica!$C87,'Vehicle data-proc2023'!$Q$20:$Q$111,RIGHT(Analytica!$D87,3))/1000</f>
        <v>955.91020610261251</v>
      </c>
      <c r="AM87" s="809">
        <f>SUMIFS('Vehicle data-proc2023'!AF$20:AF$111,'Vehicle data-proc2023'!$N$20:$N$111,Analytica!$C87,'Vehicle data-proc2023'!$Q$20:$Q$111,RIGHT(Analytica!$D87,3))/1000</f>
        <v>961.41375584437571</v>
      </c>
      <c r="AN87" s="809">
        <f>SUMIFS('Vehicle data-proc2023'!AG$20:AG$111,'Vehicle data-proc2023'!$N$20:$N$111,Analytica!$C87,'Vehicle data-proc2023'!$Q$20:$Q$111,RIGHT(Analytica!$D87,3))/1000</f>
        <v>966.91730558613915</v>
      </c>
      <c r="AO87" s="809">
        <f>SUMIFS('Vehicle data-proc2023'!AH$20:AH$111,'Vehicle data-proc2023'!$N$20:$N$111,Analytica!$C87,'Vehicle data-proc2023'!$Q$20:$Q$111,RIGHT(Analytica!$D87,3))/1000</f>
        <v>974.63568364717787</v>
      </c>
      <c r="AP87" s="809">
        <f>SUMIFS('Vehicle data-proc2023'!AI$20:AI$111,'Vehicle data-proc2023'!$N$20:$N$111,Analytica!$C87,'Vehicle data-proc2023'!$Q$20:$Q$111,RIGHT(Analytica!$D87,3))/1000</f>
        <v>982.35406170821636</v>
      </c>
      <c r="AQ87" s="809">
        <f>SUMIFS('Vehicle data-proc2023'!AJ$20:AJ$111,'Vehicle data-proc2023'!$N$20:$N$111,Analytica!$C87,'Vehicle data-proc2023'!$Q$20:$Q$111,RIGHT(Analytica!$D87,3))/1000</f>
        <v>999.53622293291085</v>
      </c>
      <c r="AR87" s="80"/>
      <c r="AT87" s="810">
        <f t="shared" si="39"/>
        <v>2.7E-2</v>
      </c>
      <c r="AU87" s="80">
        <f t="shared" si="40"/>
        <v>25.26066081463431</v>
      </c>
      <c r="AV87" s="80">
        <f t="shared" si="41"/>
        <v>25.809575564770537</v>
      </c>
      <c r="AW87" s="80">
        <f t="shared" si="42"/>
        <v>26.106767250825758</v>
      </c>
      <c r="AX87" s="80">
        <f t="shared" si="43"/>
        <v>26.523559666121841</v>
      </c>
      <c r="AY87" s="811">
        <f t="shared" si="44"/>
        <v>26.987478019188593</v>
      </c>
      <c r="BA87" s="164">
        <f t="shared" si="49"/>
        <v>0</v>
      </c>
      <c r="BC87" s="167"/>
      <c r="BD87" s="167"/>
    </row>
    <row r="88" spans="1:56" x14ac:dyDescent="0.25">
      <c r="A88" s="61" t="str">
        <f t="shared" si="31"/>
        <v>CV7GAS</v>
      </c>
      <c r="B88" s="61" t="str">
        <f t="shared" si="51"/>
        <v>TFHCV7GAS-N</v>
      </c>
      <c r="C88" s="61" t="s">
        <v>509</v>
      </c>
      <c r="D88" s="61" t="s">
        <v>539</v>
      </c>
      <c r="E88" s="61" t="s">
        <v>538</v>
      </c>
      <c r="F88" s="806">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Z88" s="808">
        <f t="shared" si="63"/>
        <v>9.0836209438411794E-2</v>
      </c>
      <c r="AA88" s="808">
        <f>1/SUMIFS('Vehicle data-proc2023'!AL$20:AL$111,'Vehicle data-proc2023'!$N$20:$N$111,Analytica!$C88,'Vehicle data-proc2023'!$Q$20:$Q$111,RIGHT(Analytica!$D88,3))</f>
        <v>6.1145949155644107E-2</v>
      </c>
      <c r="AB88" s="808">
        <f>1/SUMIFS('Vehicle data-proc2023'!AM$20:AM$111,'Vehicle data-proc2023'!$N$20:$N$111,Analytica!$C88,'Vehicle data-proc2023'!$Q$20:$Q$111,RIGHT(Analytica!$D88,3))</f>
        <v>6.1329754491183934E-2</v>
      </c>
      <c r="AC88" s="808">
        <f>1/SUMIFS('Vehicle data-proc2023'!AN$20:AN$111,'Vehicle data-proc2023'!$N$20:$N$111,Analytica!$C88,'Vehicle data-proc2023'!$Q$20:$Q$111,RIGHT(Analytica!$D88,3))</f>
        <v>6.4807213942320058E-2</v>
      </c>
      <c r="AD88" s="808">
        <f>1/SUMIFS('Vehicle data-proc2023'!AO$20:AO$111,'Vehicle data-proc2023'!$N$20:$N$111,Analytica!$C88,'Vehicle data-proc2023'!$Q$20:$Q$111,RIGHT(Analytica!$D88,3))</f>
        <v>7.1659109278220876E-2</v>
      </c>
      <c r="AE88" s="808">
        <f>1/SUMIFS('Vehicle data-proc2023'!AP$20:AP$111,'Vehicle data-proc2023'!$N$20:$N$111,Analytica!$C88,'Vehicle data-proc2023'!$Q$20:$Q$111,RIGHT(Analytica!$D88,3))</f>
        <v>7.9235437386928814E-2</v>
      </c>
      <c r="AF88" s="808"/>
      <c r="AG88" s="812"/>
      <c r="AH88" s="80"/>
      <c r="AI88" s="814">
        <f t="shared" si="64"/>
        <v>1309.4277306076999</v>
      </c>
      <c r="AJ88" s="814"/>
      <c r="AK88" s="809">
        <f>SUMIFS('Vehicle data-proc2023'!AD$20:AD$111,'Vehicle data-proc2023'!$N$20:$N$111,Analytica!$C88,'Vehicle data-proc2023'!$Q$20:$Q$111,RIGHT(Analytica!$D88,3))/1000</f>
        <v>1933.800165050887</v>
      </c>
      <c r="AL88" s="809">
        <f>SUMIFS('Vehicle data-proc2023'!AE$20:AE$111,'Vehicle data-proc2023'!$N$20:$N$111,Analytica!$C88,'Vehicle data-proc2023'!$Q$20:$Q$111,RIGHT(Analytica!$D88,3))/1000</f>
        <v>2005.9556428487513</v>
      </c>
      <c r="AM88" s="809">
        <f>SUMIFS('Vehicle data-proc2023'!AF$20:AF$111,'Vehicle data-proc2023'!$N$20:$N$111,Analytica!$C88,'Vehicle data-proc2023'!$Q$20:$Q$111,RIGHT(Analytica!$D88,3))/1000</f>
        <v>2000.1669362324401</v>
      </c>
      <c r="AN88" s="809">
        <f>SUMIFS('Vehicle data-proc2023'!AG$20:AG$111,'Vehicle data-proc2023'!$N$20:$N$111,Analytica!$C88,'Vehicle data-proc2023'!$Q$20:$Q$111,RIGHT(Analytica!$D88,3))/1000</f>
        <v>1994.3782296161294</v>
      </c>
      <c r="AO88" s="809">
        <f>SUMIFS('Vehicle data-proc2023'!AH$20:AH$111,'Vehicle data-proc2023'!$N$20:$N$111,Analytica!$C88,'Vehicle data-proc2023'!$Q$20:$Q$111,RIGHT(Analytica!$D88,3))/1000</f>
        <v>2009.3581927547843</v>
      </c>
      <c r="AP88" s="809">
        <f>SUMIFS('Vehicle data-proc2023'!AI$20:AI$111,'Vehicle data-proc2023'!$N$20:$N$111,Analytica!$C88,'Vehicle data-proc2023'!$Q$20:$Q$111,RIGHT(Analytica!$D88,3))/1000</f>
        <v>2024.3381558934395</v>
      </c>
      <c r="AQ88" s="809">
        <f>SUMIFS('Vehicle data-proc2023'!AJ$20:AJ$111,'Vehicle data-proc2023'!$N$20:$N$111,Analytica!$C88,'Vehicle data-proc2023'!$Q$20:$Q$111,RIGHT(Analytica!$D88,3))/1000</f>
        <v>2041.9605056875255</v>
      </c>
      <c r="AR88" s="80"/>
      <c r="AT88" s="810">
        <f t="shared" si="39"/>
        <v>2.7E-2</v>
      </c>
      <c r="AU88" s="80">
        <f t="shared" si="40"/>
        <v>52.212604456373946</v>
      </c>
      <c r="AV88" s="80">
        <f t="shared" si="41"/>
        <v>54.160802356916285</v>
      </c>
      <c r="AW88" s="80">
        <f t="shared" si="42"/>
        <v>53.848212199635491</v>
      </c>
      <c r="AX88" s="80">
        <f t="shared" si="43"/>
        <v>54.657130209122869</v>
      </c>
      <c r="AY88" s="811">
        <f t="shared" si="44"/>
        <v>55.132933653563185</v>
      </c>
      <c r="BA88" s="164">
        <f t="shared" si="49"/>
        <v>0</v>
      </c>
      <c r="BC88" s="167"/>
      <c r="BD88" s="167"/>
    </row>
    <row r="89" spans="1:56" x14ac:dyDescent="0.25">
      <c r="A89" s="61" t="str">
        <f t="shared" si="31"/>
        <v>CV8GAS</v>
      </c>
      <c r="B89" s="61" t="str">
        <f t="shared" si="51"/>
        <v>TFHCV8GAS-N</v>
      </c>
      <c r="C89" s="61" t="s">
        <v>509</v>
      </c>
      <c r="D89" s="61" t="s">
        <v>537</v>
      </c>
      <c r="E89" s="61" t="s">
        <v>536</v>
      </c>
      <c r="F89" s="806">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Z89" s="808">
        <f t="shared" si="63"/>
        <v>7.6728133313099883E-2</v>
      </c>
      <c r="AA89" s="808">
        <f>1/SUMIFS('Vehicle data-proc2023'!AL$20:AL$111,'Vehicle data-proc2023'!$N$20:$N$111,Analytica!$C89,'Vehicle data-proc2023'!$Q$20:$Q$111,RIGHT(Analytica!$D89,3))</f>
        <v>6.0168354731601301E-2</v>
      </c>
      <c r="AB89" s="808">
        <f>1/SUMIFS('Vehicle data-proc2023'!AM$20:AM$111,'Vehicle data-proc2023'!$N$20:$N$111,Analytica!$C89,'Vehicle data-proc2023'!$Q$20:$Q$111,RIGHT(Analytica!$D89,3))</f>
        <v>6.0349221408511837E-2</v>
      </c>
      <c r="AC89" s="808">
        <f>1/SUMIFS('Vehicle data-proc2023'!AN$20:AN$111,'Vehicle data-proc2023'!$N$20:$N$111,Analytica!$C89,'Vehicle data-proc2023'!$Q$20:$Q$111,RIGHT(Analytica!$D89,3))</f>
        <v>6.3771083636672277E-2</v>
      </c>
      <c r="AD89" s="808">
        <f>1/SUMIFS('Vehicle data-proc2023'!AO$20:AO$111,'Vehicle data-proc2023'!$N$20:$N$111,Analytica!$C89,'Vehicle data-proc2023'!$Q$20:$Q$111,RIGHT(Analytica!$D89,3))</f>
        <v>7.0513431655588113E-2</v>
      </c>
      <c r="AE89" s="808">
        <f>1/SUMIFS('Vehicle data-proc2023'!AP$20:AP$111,'Vehicle data-proc2023'!$N$20:$N$111,Analytica!$C89,'Vehicle data-proc2023'!$Q$20:$Q$111,RIGHT(Analytica!$D89,3))</f>
        <v>7.7968630299203631E-2</v>
      </c>
      <c r="AF89" s="808"/>
      <c r="AG89" s="812"/>
      <c r="AH89" s="80"/>
      <c r="AI89" s="814">
        <f t="shared" si="64"/>
        <v>1465.9458249315746</v>
      </c>
      <c r="AJ89" s="814"/>
      <c r="AK89" s="809">
        <f>SUMIFS('Vehicle data-proc2023'!AD$20:AD$111,'Vehicle data-proc2023'!$N$20:$N$111,Analytica!$C89,'Vehicle data-proc2023'!$Q$20:$Q$111,RIGHT(Analytica!$D89,3))/1000</f>
        <v>1933.800165050887</v>
      </c>
      <c r="AL89" s="809">
        <f>SUMIFS('Vehicle data-proc2023'!AE$20:AE$111,'Vehicle data-proc2023'!$N$20:$N$111,Analytica!$C89,'Vehicle data-proc2023'!$Q$20:$Q$111,RIGHT(Analytica!$D89,3))/1000</f>
        <v>2005.9556428487513</v>
      </c>
      <c r="AM89" s="809">
        <f>SUMIFS('Vehicle data-proc2023'!AF$20:AF$111,'Vehicle data-proc2023'!$N$20:$N$111,Analytica!$C89,'Vehicle data-proc2023'!$Q$20:$Q$111,RIGHT(Analytica!$D89,3))/1000</f>
        <v>2000.1669362324401</v>
      </c>
      <c r="AN89" s="809">
        <f>SUMIFS('Vehicle data-proc2023'!AG$20:AG$111,'Vehicle data-proc2023'!$N$20:$N$111,Analytica!$C89,'Vehicle data-proc2023'!$Q$20:$Q$111,RIGHT(Analytica!$D89,3))/1000</f>
        <v>1994.3782296161294</v>
      </c>
      <c r="AO89" s="809">
        <f>SUMIFS('Vehicle data-proc2023'!AH$20:AH$111,'Vehicle data-proc2023'!$N$20:$N$111,Analytica!$C89,'Vehicle data-proc2023'!$Q$20:$Q$111,RIGHT(Analytica!$D89,3))/1000</f>
        <v>2009.3581927547843</v>
      </c>
      <c r="AP89" s="809">
        <f>SUMIFS('Vehicle data-proc2023'!AI$20:AI$111,'Vehicle data-proc2023'!$N$20:$N$111,Analytica!$C89,'Vehicle data-proc2023'!$Q$20:$Q$111,RIGHT(Analytica!$D89,3))/1000</f>
        <v>2024.3381558934395</v>
      </c>
      <c r="AQ89" s="809">
        <f>SUMIFS('Vehicle data-proc2023'!AJ$20:AJ$111,'Vehicle data-proc2023'!$N$20:$N$111,Analytica!$C89,'Vehicle data-proc2023'!$Q$20:$Q$111,RIGHT(Analytica!$D89,3))/1000</f>
        <v>2041.9605056875255</v>
      </c>
      <c r="AR89" s="80"/>
      <c r="AT89" s="810">
        <f t="shared" si="39"/>
        <v>2.7E-2</v>
      </c>
      <c r="AU89" s="80">
        <f t="shared" si="40"/>
        <v>52.212604456373946</v>
      </c>
      <c r="AV89" s="80">
        <f t="shared" si="41"/>
        <v>54.160802356916285</v>
      </c>
      <c r="AW89" s="80">
        <f t="shared" si="42"/>
        <v>53.848212199635491</v>
      </c>
      <c r="AX89" s="80">
        <f t="shared" si="43"/>
        <v>54.657130209122869</v>
      </c>
      <c r="AY89" s="811">
        <f t="shared" si="44"/>
        <v>55.132933653563185</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06">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Z90" s="808">
        <f t="shared" si="63"/>
        <v>6.8017451511854232E-2</v>
      </c>
      <c r="AA90" s="808">
        <f>1/SUMIFS('Vehicle data-proc2023'!AL$20:AL$111,'Vehicle data-proc2023'!$N$20:$N$111,Analytica!$C90,'Vehicle data-proc2023'!$Q$20:$Q$111,RIGHT(Analytica!$D90,3))</f>
        <v>4.7279447045137132E-2</v>
      </c>
      <c r="AB90" s="808">
        <f>1/SUMIFS('Vehicle data-proc2023'!AM$20:AM$111,'Vehicle data-proc2023'!$N$20:$N$111,Analytica!$C90,'Vehicle data-proc2023'!$Q$20:$Q$111,RIGHT(Analytica!$D90,3))</f>
        <v>4.7421569536459478E-2</v>
      </c>
      <c r="AC90" s="808">
        <f>1/SUMIFS('Vehicle data-proc2023'!AN$20:AN$111,'Vehicle data-proc2023'!$N$20:$N$111,Analytica!$C90,'Vehicle data-proc2023'!$Q$20:$Q$111,RIGHT(Analytica!$D90,3))</f>
        <v>5.0110420756236902E-2</v>
      </c>
      <c r="AD90" s="808">
        <f>1/SUMIFS('Vehicle data-proc2023'!AO$20:AO$111,'Vehicle data-proc2023'!$N$20:$N$111,Analytica!$C90,'Vehicle data-proc2023'!$Q$20:$Q$111,RIGHT(Analytica!$D90,3))</f>
        <v>5.5408463016860511E-2</v>
      </c>
      <c r="AE90" s="808">
        <f>1/SUMIFS('Vehicle data-proc2023'!AP$20:AP$111,'Vehicle data-proc2023'!$N$20:$N$111,Analytica!$C90,'Vehicle data-proc2023'!$Q$20:$Q$111,RIGHT(Analytica!$D90,3))</f>
        <v>6.1266653274083406E-2</v>
      </c>
      <c r="AF90" s="808"/>
      <c r="AG90" s="812"/>
      <c r="AH90" s="80"/>
      <c r="AI90" s="814">
        <f t="shared" si="64"/>
        <v>1641.1727897628796</v>
      </c>
      <c r="AJ90" s="814"/>
      <c r="AK90" s="809">
        <f>SUMIFS('Vehicle data-proc2023'!AD$20:AD$111,'Vehicle data-proc2023'!$N$20:$N$111,Analytica!$C90,'Vehicle data-proc2023'!$Q$20:$Q$111,RIGHT(Analytica!$D90,3))/1000</f>
        <v>1933.800165050887</v>
      </c>
      <c r="AL90" s="809">
        <f>SUMIFS('Vehicle data-proc2023'!AE$20:AE$111,'Vehicle data-proc2023'!$N$20:$N$111,Analytica!$C90,'Vehicle data-proc2023'!$Q$20:$Q$111,RIGHT(Analytica!$D90,3))/1000</f>
        <v>2005.9556428487513</v>
      </c>
      <c r="AM90" s="809">
        <f>SUMIFS('Vehicle data-proc2023'!AF$20:AF$111,'Vehicle data-proc2023'!$N$20:$N$111,Analytica!$C90,'Vehicle data-proc2023'!$Q$20:$Q$111,RIGHT(Analytica!$D90,3))/1000</f>
        <v>2000.1669362324401</v>
      </c>
      <c r="AN90" s="809">
        <f>SUMIFS('Vehicle data-proc2023'!AG$20:AG$111,'Vehicle data-proc2023'!$N$20:$N$111,Analytica!$C90,'Vehicle data-proc2023'!$Q$20:$Q$111,RIGHT(Analytica!$D90,3))/1000</f>
        <v>1994.3782296161294</v>
      </c>
      <c r="AO90" s="809">
        <f>SUMIFS('Vehicle data-proc2023'!AH$20:AH$111,'Vehicle data-proc2023'!$N$20:$N$111,Analytica!$C90,'Vehicle data-proc2023'!$Q$20:$Q$111,RIGHT(Analytica!$D90,3))/1000</f>
        <v>2009.3581927547843</v>
      </c>
      <c r="AP90" s="809">
        <f>SUMIFS('Vehicle data-proc2023'!AI$20:AI$111,'Vehicle data-proc2023'!$N$20:$N$111,Analytica!$C90,'Vehicle data-proc2023'!$Q$20:$Q$111,RIGHT(Analytica!$D90,3))/1000</f>
        <v>2024.3381558934395</v>
      </c>
      <c r="AQ90" s="809">
        <f>SUMIFS('Vehicle data-proc2023'!AJ$20:AJ$111,'Vehicle data-proc2023'!$N$20:$N$111,Analytica!$C90,'Vehicle data-proc2023'!$Q$20:$Q$111,RIGHT(Analytica!$D90,3))/1000</f>
        <v>2041.9605056875255</v>
      </c>
      <c r="AR90" s="80"/>
      <c r="AT90" s="810">
        <f t="shared" si="39"/>
        <v>2.7E-2</v>
      </c>
      <c r="AU90" s="80">
        <f t="shared" si="40"/>
        <v>52.212604456373946</v>
      </c>
      <c r="AV90" s="80">
        <f t="shared" si="41"/>
        <v>54.160802356916285</v>
      </c>
      <c r="AW90" s="80">
        <f t="shared" si="42"/>
        <v>53.848212199635491</v>
      </c>
      <c r="AX90" s="80">
        <f t="shared" si="43"/>
        <v>54.657130209122869</v>
      </c>
      <c r="AY90" s="811">
        <f t="shared" si="44"/>
        <v>55.132933653563185</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06">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84" t="s">
        <v>532</v>
      </c>
      <c r="T91" s="183"/>
      <c r="U91" s="183"/>
      <c r="V91" s="183"/>
      <c r="W91" s="183"/>
      <c r="X91" s="182" t="s">
        <v>532</v>
      </c>
      <c r="Z91" s="808">
        <f t="shared" ref="Z91:Z101" si="72">(AA91/AB91)*AA91</f>
        <v>0.55601425097572121</v>
      </c>
      <c r="AA91" s="808">
        <f>1/SUMIFS('Vehicle data-proc2023'!AL$20:AL$111,'Vehicle data-proc2023'!$N$20:$N$111,Analytica!$C91,'Vehicle data-proc2023'!$Q$20:$Q$111,RIGHT(Analytica!$D91,3))</f>
        <v>0.55768563538264859</v>
      </c>
      <c r="AB91" s="808">
        <f>1/SUMIFS('Vehicle data-proc2023'!AM$20:AM$111,'Vehicle data-proc2023'!$N$20:$N$111,Analytica!$C91,'Vehicle data-proc2023'!$Q$20:$Q$111,RIGHT(Analytica!$D91,3))</f>
        <v>0.55936204398784217</v>
      </c>
      <c r="AC91" s="808">
        <f>1/SUMIFS('Vehicle data-proc2023'!AN$20:AN$111,'Vehicle data-proc2023'!$N$20:$N$111,Analytica!$C91,'Vehicle data-proc2023'!$Q$20:$Q$111,RIGHT(Analytica!$D91,3))</f>
        <v>0.59107844074517712</v>
      </c>
      <c r="AD91" s="808">
        <f>1/SUMIFS('Vehicle data-proc2023'!AO$20:AO$111,'Vehicle data-proc2023'!$N$20:$N$111,Analytica!$C91,'Vehicle data-proc2023'!$Q$20:$Q$111,RIGHT(Analytica!$D91,3))</f>
        <v>0.65357160107294576</v>
      </c>
      <c r="AE91" s="808">
        <f>1/SUMIFS('Vehicle data-proc2023'!AP$20:AP$111,'Vehicle data-proc2023'!$N$20:$N$111,Analytica!$C91,'Vehicle data-proc2023'!$Q$20:$Q$111,RIGHT(Analytica!$D91,3))</f>
        <v>0.72267199796787562</v>
      </c>
      <c r="AF91" s="808"/>
      <c r="AK91" s="809">
        <f>SUMIFS('Vehicle data-proc2023'!AD$20:AD$111,'Vehicle data-proc2023'!$N$20:$N$111,Analytica!$C91,'Vehicle data-proc2023'!$Q$20:$Q$111,RIGHT(Analytica!$D91,3))/1000</f>
        <v>1327.7927757726811</v>
      </c>
      <c r="AL91" s="809">
        <f>SUMIFS('Vehicle data-proc2023'!AE$20:AE$111,'Vehicle data-proc2023'!$N$20:$N$111,Analytica!$C91,'Vehicle data-proc2023'!$Q$20:$Q$111,RIGHT(Analytica!$D91,3))/1000</f>
        <v>871.54447239677188</v>
      </c>
      <c r="AM91" s="809">
        <f>SUMIFS('Vehicle data-proc2023'!AF$20:AF$111,'Vehicle data-proc2023'!$N$20:$N$111,Analytica!$C91,'Vehicle data-proc2023'!$Q$20:$Q$111,RIGHT(Analytica!$D91,3))/1000</f>
        <v>791.40401330598297</v>
      </c>
      <c r="AN91" s="809">
        <f>SUMIFS('Vehicle data-proc2023'!AG$20:AG$111,'Vehicle data-proc2023'!$N$20:$N$111,Analytica!$C91,'Vehicle data-proc2023'!$Q$20:$Q$111,RIGHT(Analytica!$D91,3))/1000</f>
        <v>711.26355421519372</v>
      </c>
      <c r="AO91" s="809">
        <f>SUMIFS('Vehicle data-proc2023'!AH$20:AH$111,'Vehicle data-proc2023'!$N$20:$N$111,Analytica!$C91,'Vehicle data-proc2023'!$Q$20:$Q$111,RIGHT(Analytica!$D91,3))/1000</f>
        <v>716.96875957082284</v>
      </c>
      <c r="AP91" s="809">
        <f>SUMIFS('Vehicle data-proc2023'!AI$20:AI$111,'Vehicle data-proc2023'!$N$20:$N$111,Analytica!$C91,'Vehicle data-proc2023'!$Q$20:$Q$111,RIGHT(Analytica!$D91,3))/1000</f>
        <v>533.93245692908113</v>
      </c>
      <c r="AQ91" s="809">
        <f>SUMIFS('Vehicle data-proc2023'!AJ$20:AJ$111,'Vehicle data-proc2023'!$N$20:$N$111,Analytica!$C91,'Vehicle data-proc2023'!$Q$20:$Q$111,RIGHT(Analytica!$D91,3))/1000</f>
        <v>551.67118115070787</v>
      </c>
      <c r="AR91" s="80"/>
      <c r="AT91" s="810">
        <f t="shared" ref="AT91:AT122" si="73">IF($C91&lt;&gt;$AY$55,$AX$56,$AX$55)</f>
        <v>2.0250000000000001E-2</v>
      </c>
      <c r="AU91" s="80">
        <f t="shared" ref="AU91:AU122" si="74">$AT91*AK91</f>
        <v>26.887803709396792</v>
      </c>
      <c r="AV91" s="80">
        <f t="shared" ref="AV91:AV122" si="75">$AT91*AL91</f>
        <v>17.648775566034629</v>
      </c>
      <c r="AW91" s="80">
        <f t="shared" ref="AW91:AW122" si="76">$AT91*AN91</f>
        <v>14.403086972857674</v>
      </c>
      <c r="AX91" s="80">
        <f t="shared" ref="AX91:AX122" si="77">$AT91*AP91</f>
        <v>10.812132252813893</v>
      </c>
      <c r="AY91" s="811">
        <f t="shared" ref="AY91:AY122" si="78">$AT91*AQ91</f>
        <v>11.171341418301834</v>
      </c>
      <c r="BA91" s="74">
        <f t="shared" si="49"/>
        <v>0</v>
      </c>
      <c r="BB91" s="61" t="s">
        <v>533</v>
      </c>
    </row>
    <row r="92" spans="1:56" x14ac:dyDescent="0.25">
      <c r="A92" s="61" t="str">
        <f t="shared" si="65"/>
        <v>CV2ELC</v>
      </c>
      <c r="B92" s="61" t="str">
        <f t="shared" si="51"/>
        <v>TFHCV2ELC-N</v>
      </c>
      <c r="C92" s="61" t="s">
        <v>501</v>
      </c>
      <c r="D92" s="61" t="str">
        <f>D94</f>
        <v>TFHCV2</v>
      </c>
      <c r="E92" t="s">
        <v>994</v>
      </c>
      <c r="F92" s="806">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81"/>
      <c r="X92" s="180"/>
      <c r="Z92" s="808">
        <f t="shared" si="72"/>
        <v>0.44537447706359251</v>
      </c>
      <c r="AA92" s="808">
        <f>1/SUMIFS('Vehicle data-proc2023'!AL$20:AL$111,'Vehicle data-proc2023'!$N$20:$N$111,Analytica!$C92,'Vehicle data-proc2023'!$Q$20:$Q$111,RIGHT(Analytica!$D92,3))</f>
        <v>0.44671327720208048</v>
      </c>
      <c r="AB92" s="808">
        <f>1/SUMIFS('Vehicle data-proc2023'!AM$20:AM$111,'Vehicle data-proc2023'!$N$20:$N$111,Analytica!$C92,'Vehicle data-proc2023'!$Q$20:$Q$111,RIGHT(Analytica!$D92,3))</f>
        <v>0.44805610178719285</v>
      </c>
      <c r="AC92" s="808">
        <f>1/SUMIFS('Vehicle data-proc2023'!AN$20:AN$111,'Vehicle data-proc2023'!$N$20:$N$111,Analytica!$C92,'Vehicle data-proc2023'!$Q$20:$Q$111,RIGHT(Analytica!$D92,3))</f>
        <v>0.47346133842519467</v>
      </c>
      <c r="AD92" s="808">
        <f>1/SUMIFS('Vehicle data-proc2023'!AO$20:AO$111,'Vehicle data-proc2023'!$N$20:$N$111,Analytica!$C92,'Vehicle data-proc2023'!$Q$20:$Q$111,RIGHT(Analytica!$D92,3))</f>
        <v>0.52351915358404844</v>
      </c>
      <c r="AE92" s="808">
        <f>1/SUMIFS('Vehicle data-proc2023'!AP$20:AP$111,'Vehicle data-proc2023'!$N$20:$N$111,Analytica!$C92,'Vehicle data-proc2023'!$Q$20:$Q$111,RIGHT(Analytica!$D92,3))</f>
        <v>0.57886944915283944</v>
      </c>
      <c r="AF92" s="808"/>
      <c r="AK92" s="809">
        <f>SUMIFS('Vehicle data-proc2023'!AD$20:AD$111,'Vehicle data-proc2023'!$N$20:$N$111,Analytica!$C92,'Vehicle data-proc2023'!$Q$20:$Q$111,RIGHT(Analytica!$D92,3))/1000</f>
        <v>1327.7927757726811</v>
      </c>
      <c r="AL92" s="809">
        <f>SUMIFS('Vehicle data-proc2023'!AE$20:AE$111,'Vehicle data-proc2023'!$N$20:$N$111,Analytica!$C92,'Vehicle data-proc2023'!$Q$20:$Q$111,RIGHT(Analytica!$D92,3))/1000</f>
        <v>871.54447239677188</v>
      </c>
      <c r="AM92" s="809">
        <f>SUMIFS('Vehicle data-proc2023'!AF$20:AF$111,'Vehicle data-proc2023'!$N$20:$N$111,Analytica!$C92,'Vehicle data-proc2023'!$Q$20:$Q$111,RIGHT(Analytica!$D92,3))/1000</f>
        <v>791.40401330598297</v>
      </c>
      <c r="AN92" s="809">
        <f>SUMIFS('Vehicle data-proc2023'!AG$20:AG$111,'Vehicle data-proc2023'!$N$20:$N$111,Analytica!$C92,'Vehicle data-proc2023'!$Q$20:$Q$111,RIGHT(Analytica!$D92,3))/1000</f>
        <v>711.26355421519372</v>
      </c>
      <c r="AO92" s="809">
        <f>SUMIFS('Vehicle data-proc2023'!AH$20:AH$111,'Vehicle data-proc2023'!$N$20:$N$111,Analytica!$C92,'Vehicle data-proc2023'!$Q$20:$Q$111,RIGHT(Analytica!$D92,3))/1000</f>
        <v>716.96875957082284</v>
      </c>
      <c r="AP92" s="809">
        <f>SUMIFS('Vehicle data-proc2023'!AI$20:AI$111,'Vehicle data-proc2023'!$N$20:$N$111,Analytica!$C92,'Vehicle data-proc2023'!$Q$20:$Q$111,RIGHT(Analytica!$D92,3))/1000</f>
        <v>533.93245692908113</v>
      </c>
      <c r="AQ92" s="809">
        <f>SUMIFS('Vehicle data-proc2023'!AJ$20:AJ$111,'Vehicle data-proc2023'!$N$20:$N$111,Analytica!$C92,'Vehicle data-proc2023'!$Q$20:$Q$111,RIGHT(Analytica!$D92,3))/1000</f>
        <v>551.67118115070787</v>
      </c>
      <c r="AR92" s="80"/>
      <c r="AT92" s="810">
        <f t="shared" si="73"/>
        <v>2.0250000000000001E-2</v>
      </c>
      <c r="AU92" s="80">
        <f t="shared" si="74"/>
        <v>26.887803709396792</v>
      </c>
      <c r="AV92" s="80">
        <f t="shared" si="75"/>
        <v>17.648775566034629</v>
      </c>
      <c r="AW92" s="80">
        <f t="shared" si="76"/>
        <v>14.403086972857674</v>
      </c>
      <c r="AX92" s="80">
        <f t="shared" si="77"/>
        <v>10.812132252813893</v>
      </c>
      <c r="AY92" s="811">
        <f t="shared" si="78"/>
        <v>11.171341418301834</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06">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79" t="s">
        <v>532</v>
      </c>
      <c r="T93" s="178"/>
      <c r="U93" s="178"/>
      <c r="V93" s="178"/>
      <c r="W93" s="178"/>
      <c r="X93" s="177" t="s">
        <v>532</v>
      </c>
      <c r="Z93" s="808">
        <f t="shared" si="72"/>
        <v>0.38938901483814226</v>
      </c>
      <c r="AA93" s="808">
        <f>1/SUMIFS('Vehicle data-proc2023'!AL$20:AL$111,'Vehicle data-proc2023'!$N$20:$N$111,Analytica!$C93,'Vehicle data-proc2023'!$Q$20:$Q$111,RIGHT(Analytica!$D93,3))</f>
        <v>0.39055952211648487</v>
      </c>
      <c r="AB93" s="808">
        <f>1/SUMIFS('Vehicle data-proc2023'!AM$20:AM$111,'Vehicle data-proc2023'!$N$20:$N$111,Analytica!$C93,'Vehicle data-proc2023'!$Q$20:$Q$111,RIGHT(Analytica!$D93,3))</f>
        <v>0.39173354795142884</v>
      </c>
      <c r="AC93" s="808">
        <f>1/SUMIFS('Vehicle data-proc2023'!AN$20:AN$111,'Vehicle data-proc2023'!$N$20:$N$111,Analytica!$C93,'Vehicle data-proc2023'!$Q$20:$Q$111,RIGHT(Analytica!$D93,3))</f>
        <v>0.41394523850770848</v>
      </c>
      <c r="AD93" s="808">
        <f>1/SUMIFS('Vehicle data-proc2023'!AO$20:AO$111,'Vehicle data-proc2023'!$N$20:$N$111,Analytica!$C93,'Vehicle data-proc2023'!$Q$20:$Q$111,RIGHT(Analytica!$D93,3))</f>
        <v>0.45771057382321367</v>
      </c>
      <c r="AE93" s="808">
        <f>1/SUMIFS('Vehicle data-proc2023'!AP$20:AP$111,'Vehicle data-proc2023'!$N$20:$N$111,Analytica!$C93,'Vehicle data-proc2023'!$Q$20:$Q$111,RIGHT(Analytica!$D93,3))</f>
        <v>0.50610310229640254</v>
      </c>
      <c r="AF93" s="808"/>
      <c r="AK93" s="809">
        <f>SUMIFS('Vehicle data-proc2023'!AD$20:AD$111,'Vehicle data-proc2023'!$N$20:$N$111,Analytica!$C93,'Vehicle data-proc2023'!$Q$20:$Q$111,RIGHT(Analytica!$D93,3))/1000</f>
        <v>1327.7927757726811</v>
      </c>
      <c r="AL93" s="809">
        <f>SUMIFS('Vehicle data-proc2023'!AE$20:AE$111,'Vehicle data-proc2023'!$N$20:$N$111,Analytica!$C93,'Vehicle data-proc2023'!$Q$20:$Q$111,RIGHT(Analytica!$D93,3))/1000</f>
        <v>871.54447239677188</v>
      </c>
      <c r="AM93" s="809">
        <f>SUMIFS('Vehicle data-proc2023'!AF$20:AF$111,'Vehicle data-proc2023'!$N$20:$N$111,Analytica!$C93,'Vehicle data-proc2023'!$Q$20:$Q$111,RIGHT(Analytica!$D93,3))/1000</f>
        <v>791.40401330598297</v>
      </c>
      <c r="AN93" s="809">
        <f>SUMIFS('Vehicle data-proc2023'!AG$20:AG$111,'Vehicle data-proc2023'!$N$20:$N$111,Analytica!$C93,'Vehicle data-proc2023'!$Q$20:$Q$111,RIGHT(Analytica!$D93,3))/1000</f>
        <v>711.26355421519372</v>
      </c>
      <c r="AO93" s="809">
        <f>SUMIFS('Vehicle data-proc2023'!AH$20:AH$111,'Vehicle data-proc2023'!$N$20:$N$111,Analytica!$C93,'Vehicle data-proc2023'!$Q$20:$Q$111,RIGHT(Analytica!$D93,3))/1000</f>
        <v>716.96875957082284</v>
      </c>
      <c r="AP93" s="809">
        <f>SUMIFS('Vehicle data-proc2023'!AI$20:AI$111,'Vehicle data-proc2023'!$N$20:$N$111,Analytica!$C93,'Vehicle data-proc2023'!$Q$20:$Q$111,RIGHT(Analytica!$D93,3))/1000</f>
        <v>533.93245692908113</v>
      </c>
      <c r="AQ93" s="809">
        <f>SUMIFS('Vehicle data-proc2023'!AJ$20:AJ$111,'Vehicle data-proc2023'!$N$20:$N$111,Analytica!$C93,'Vehicle data-proc2023'!$Q$20:$Q$111,RIGHT(Analytica!$D93,3))/1000</f>
        <v>551.67118115070787</v>
      </c>
      <c r="AR93" s="80"/>
      <c r="AT93" s="810">
        <f t="shared" si="73"/>
        <v>2.0250000000000001E-2</v>
      </c>
      <c r="AU93" s="80">
        <f t="shared" si="74"/>
        <v>26.887803709396792</v>
      </c>
      <c r="AV93" s="80">
        <f t="shared" si="75"/>
        <v>17.648775566034629</v>
      </c>
      <c r="AW93" s="80">
        <f t="shared" si="76"/>
        <v>14.403086972857674</v>
      </c>
      <c r="AX93" s="80">
        <f t="shared" si="77"/>
        <v>10.812132252813893</v>
      </c>
      <c r="AY93" s="811">
        <f t="shared" si="78"/>
        <v>11.171341418301834</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06">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75" t="s">
        <v>532</v>
      </c>
      <c r="X94" s="176" t="s">
        <v>532</v>
      </c>
      <c r="Z94" s="808">
        <f t="shared" si="72"/>
        <v>0.28848119537073613</v>
      </c>
      <c r="AA94" s="808">
        <f>1/SUMIFS('Vehicle data-proc2023'!AL$20:AL$111,'Vehicle data-proc2023'!$N$20:$N$111,Analytica!$C94,'Vehicle data-proc2023'!$Q$20:$Q$111,RIGHT(Analytica!$D94,3))</f>
        <v>0.28934837273316583</v>
      </c>
      <c r="AB94" s="808">
        <f>1/SUMIFS('Vehicle data-proc2023'!AM$20:AM$111,'Vehicle data-proc2023'!$N$20:$N$111,Analytica!$C94,'Vehicle data-proc2023'!$Q$20:$Q$111,RIGHT(Analytica!$D94,3))</f>
        <v>0.29021815683943175</v>
      </c>
      <c r="AC94" s="808">
        <f>1/SUMIFS('Vehicle data-proc2023'!AN$20:AN$111,'Vehicle data-proc2023'!$N$20:$N$111,Analytica!$C94,'Vehicle data-proc2023'!$Q$20:$Q$111,RIGHT(Analytica!$D94,3))</f>
        <v>0.3066738214799557</v>
      </c>
      <c r="AD94" s="808">
        <f>1/SUMIFS('Vehicle data-proc2023'!AO$20:AO$111,'Vehicle data-proc2023'!$N$20:$N$111,Analytica!$C94,'Vehicle data-proc2023'!$Q$20:$Q$111,RIGHT(Analytica!$D94,3))</f>
        <v>0.33909763357148603</v>
      </c>
      <c r="AE94" s="808">
        <f>1/SUMIFS('Vehicle data-proc2023'!AP$20:AP$111,'Vehicle data-proc2023'!$N$20:$N$111,Analytica!$C94,'Vehicle data-proc2023'!$Q$20:$Q$111,RIGHT(Analytica!$D94,3))</f>
        <v>0.37494952956490746</v>
      </c>
      <c r="AF94" s="808"/>
      <c r="AK94" s="809">
        <f>SUMIFS('Vehicle data-proc2023'!AD$20:AD$111,'Vehicle data-proc2023'!$N$20:$N$111,Analytica!$C94,'Vehicle data-proc2023'!$Q$20:$Q$111,RIGHT(Analytica!$D94,3))/1000</f>
        <v>2522.9906381765995</v>
      </c>
      <c r="AL94" s="809">
        <f>SUMIFS('Vehicle data-proc2023'!AE$20:AE$111,'Vehicle data-proc2023'!$N$20:$N$111,Analytica!$C94,'Vehicle data-proc2023'!$Q$20:$Q$111,RIGHT(Analytica!$D94,3))/1000</f>
        <v>1080.9827502171779</v>
      </c>
      <c r="AM94" s="809">
        <f>SUMIFS('Vehicle data-proc2023'!AF$20:AF$111,'Vehicle data-proc2023'!$N$20:$N$111,Analytica!$C94,'Vehicle data-proc2023'!$Q$20:$Q$111,RIGHT(Analytica!$D94,3))/1000</f>
        <v>851.67291194386314</v>
      </c>
      <c r="AN94" s="809">
        <f>SUMIFS('Vehicle data-proc2023'!AG$20:AG$111,'Vehicle data-proc2023'!$N$20:$N$111,Analytica!$C94,'Vehicle data-proc2023'!$Q$20:$Q$111,RIGHT(Analytica!$D94,3))/1000</f>
        <v>622.36307367054837</v>
      </c>
      <c r="AO94" s="809">
        <f>SUMIFS('Vehicle data-proc2023'!AH$20:AH$111,'Vehicle data-proc2023'!$N$20:$N$111,Analytica!$C94,'Vehicle data-proc2023'!$Q$20:$Q$111,RIGHT(Analytica!$D94,3))/1000</f>
        <v>593.95867654201027</v>
      </c>
      <c r="AP94" s="809">
        <f>SUMIFS('Vehicle data-proc2023'!AI$20:AI$111,'Vehicle data-proc2023'!$N$20:$N$111,Analytica!$C94,'Vehicle data-proc2023'!$Q$20:$Q$111,RIGHT(Analytica!$D94,3))/1000</f>
        <v>565.55427941347216</v>
      </c>
      <c r="AQ94" s="809">
        <f>SUMIFS('Vehicle data-proc2023'!AJ$20:AJ$111,'Vehicle data-proc2023'!$N$20:$N$111,Analytica!$C94,'Vehicle data-proc2023'!$Q$20:$Q$111,RIGHT(Analytica!$D94,3))/1000</f>
        <v>551.67118115070787</v>
      </c>
      <c r="AR94" s="80"/>
      <c r="AT94" s="810">
        <f t="shared" si="73"/>
        <v>2.7E-2</v>
      </c>
      <c r="AU94" s="80">
        <f t="shared" si="74"/>
        <v>68.120747230768188</v>
      </c>
      <c r="AV94" s="80">
        <f t="shared" si="75"/>
        <v>29.186534255863805</v>
      </c>
      <c r="AW94" s="80">
        <f t="shared" si="76"/>
        <v>16.803802989104806</v>
      </c>
      <c r="AX94" s="80">
        <f t="shared" si="77"/>
        <v>15.269965544163748</v>
      </c>
      <c r="AY94" s="811">
        <f t="shared" si="78"/>
        <v>14.895121891069111</v>
      </c>
      <c r="BA94" s="74">
        <f t="shared" si="49"/>
        <v>0</v>
      </c>
      <c r="BB94" s="61" t="s">
        <v>531</v>
      </c>
    </row>
    <row r="95" spans="1:56" x14ac:dyDescent="0.25">
      <c r="A95" s="61" t="str">
        <f t="shared" si="65"/>
        <v>CV3HGN</v>
      </c>
      <c r="B95" s="61" t="str">
        <f t="shared" si="51"/>
        <v>TFHCV3HGN-N</v>
      </c>
      <c r="C95" s="61" t="s">
        <v>504</v>
      </c>
      <c r="D95" s="61" t="str">
        <f t="shared" si="80"/>
        <v>TFHCV3</v>
      </c>
      <c r="E95" t="s">
        <v>997</v>
      </c>
      <c r="F95" s="806">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75"/>
      <c r="X95" s="176"/>
      <c r="Z95" s="808">
        <f t="shared" si="72"/>
        <v>0.25221788461106948</v>
      </c>
      <c r="AA95" s="808">
        <f>1/SUMIFS('Vehicle data-proc2023'!AL$20:AL$111,'Vehicle data-proc2023'!$N$20:$N$111,Analytica!$C95,'Vehicle data-proc2023'!$Q$20:$Q$111,RIGHT(Analytica!$D95,3))</f>
        <v>0.25297605409817775</v>
      </c>
      <c r="AB95" s="808">
        <f>1/SUMIFS('Vehicle data-proc2023'!AM$20:AM$111,'Vehicle data-proc2023'!$N$20:$N$111,Analytica!$C95,'Vehicle data-proc2023'!$Q$20:$Q$111,RIGHT(Analytica!$D95,3))</f>
        <v>0.25373650265035735</v>
      </c>
      <c r="AC95" s="808">
        <f>1/SUMIFS('Vehicle data-proc2023'!AN$20:AN$111,'Vehicle data-proc2023'!$N$20:$N$111,Analytica!$C95,'Vehicle data-proc2023'!$Q$20:$Q$111,RIGHT(Analytica!$D95,3))</f>
        <v>0.26812362039703852</v>
      </c>
      <c r="AD95" s="808">
        <f>1/SUMIFS('Vehicle data-proc2023'!AO$20:AO$111,'Vehicle data-proc2023'!$N$20:$N$111,Analytica!$C95,'Vehicle data-proc2023'!$Q$20:$Q$111,RIGHT(Analytica!$D95,3))</f>
        <v>0.29647162168094532</v>
      </c>
      <c r="AE95" s="808">
        <f>1/SUMIFS('Vehicle data-proc2023'!AP$20:AP$111,'Vehicle data-proc2023'!$N$20:$N$111,Analytica!$C95,'Vehicle data-proc2023'!$Q$20:$Q$111,RIGHT(Analytica!$D95,3))</f>
        <v>0.32781678216926086</v>
      </c>
      <c r="AF95" s="808"/>
      <c r="AK95" s="809">
        <f>SUMIFS('Vehicle data-proc2023'!AD$20:AD$111,'Vehicle data-proc2023'!$N$20:$N$111,Analytica!$C95,'Vehicle data-proc2023'!$Q$20:$Q$111,RIGHT(Analytica!$D95,3))/1000</f>
        <v>2522.9906381765995</v>
      </c>
      <c r="AL95" s="809">
        <f>SUMIFS('Vehicle data-proc2023'!AE$20:AE$111,'Vehicle data-proc2023'!$N$20:$N$111,Analytica!$C95,'Vehicle data-proc2023'!$Q$20:$Q$111,RIGHT(Analytica!$D95,3))/1000</f>
        <v>1080.9827502171779</v>
      </c>
      <c r="AM95" s="809">
        <f>SUMIFS('Vehicle data-proc2023'!AF$20:AF$111,'Vehicle data-proc2023'!$N$20:$N$111,Analytica!$C95,'Vehicle data-proc2023'!$Q$20:$Q$111,RIGHT(Analytica!$D95,3))/1000</f>
        <v>851.67291194386314</v>
      </c>
      <c r="AN95" s="809">
        <f>SUMIFS('Vehicle data-proc2023'!AG$20:AG$111,'Vehicle data-proc2023'!$N$20:$N$111,Analytica!$C95,'Vehicle data-proc2023'!$Q$20:$Q$111,RIGHT(Analytica!$D95,3))/1000</f>
        <v>622.36307367054837</v>
      </c>
      <c r="AO95" s="809">
        <f>SUMIFS('Vehicle data-proc2023'!AH$20:AH$111,'Vehicle data-proc2023'!$N$20:$N$111,Analytica!$C95,'Vehicle data-proc2023'!$Q$20:$Q$111,RIGHT(Analytica!$D95,3))/1000</f>
        <v>593.95867654201027</v>
      </c>
      <c r="AP95" s="809">
        <f>SUMIFS('Vehicle data-proc2023'!AI$20:AI$111,'Vehicle data-proc2023'!$N$20:$N$111,Analytica!$C95,'Vehicle data-proc2023'!$Q$20:$Q$111,RIGHT(Analytica!$D95,3))/1000</f>
        <v>565.55427941347216</v>
      </c>
      <c r="AQ95" s="809">
        <f>SUMIFS('Vehicle data-proc2023'!AJ$20:AJ$111,'Vehicle data-proc2023'!$N$20:$N$111,Analytica!$C95,'Vehicle data-proc2023'!$Q$20:$Q$111,RIGHT(Analytica!$D95,3))/1000</f>
        <v>551.67118115070787</v>
      </c>
      <c r="AR95" s="80"/>
      <c r="AT95" s="810">
        <f t="shared" si="73"/>
        <v>2.7E-2</v>
      </c>
      <c r="AU95" s="80">
        <f t="shared" si="74"/>
        <v>68.120747230768188</v>
      </c>
      <c r="AV95" s="80">
        <f t="shared" si="75"/>
        <v>29.186534255863805</v>
      </c>
      <c r="AW95" s="80">
        <f t="shared" si="76"/>
        <v>16.803802989104806</v>
      </c>
      <c r="AX95" s="80">
        <f t="shared" si="77"/>
        <v>15.269965544163748</v>
      </c>
      <c r="AY95" s="811">
        <f t="shared" si="78"/>
        <v>14.895121891069111</v>
      </c>
      <c r="BA95" s="74">
        <f t="shared" si="49"/>
        <v>0</v>
      </c>
      <c r="BB95" s="61" t="s">
        <v>531</v>
      </c>
    </row>
    <row r="96" spans="1:56" x14ac:dyDescent="0.25">
      <c r="A96" s="61" t="str">
        <f t="shared" si="65"/>
        <v>CV4HGN</v>
      </c>
      <c r="B96" s="61" t="str">
        <f t="shared" si="51"/>
        <v>TFHCV4HGN-N</v>
      </c>
      <c r="C96" s="61" t="s">
        <v>504</v>
      </c>
      <c r="D96" s="61" t="str">
        <f t="shared" si="80"/>
        <v>TFHCV4</v>
      </c>
      <c r="E96" t="s">
        <v>998</v>
      </c>
      <c r="F96" s="806">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75"/>
      <c r="X96" s="174"/>
      <c r="Z96" s="808">
        <f t="shared" si="72"/>
        <v>0.21562320269889015</v>
      </c>
      <c r="AA96" s="808">
        <f>1/SUMIFS('Vehicle data-proc2023'!AL$20:AL$111,'Vehicle data-proc2023'!$N$20:$N$111,Analytica!$C96,'Vehicle data-proc2023'!$Q$20:$Q$111,RIGHT(Analytica!$D96,3))</f>
        <v>0.21627136820567391</v>
      </c>
      <c r="AB96" s="808">
        <f>1/SUMIFS('Vehicle data-proc2023'!AM$20:AM$111,'Vehicle data-proc2023'!$N$20:$N$111,Analytica!$C96,'Vehicle data-proc2023'!$Q$20:$Q$111,RIGHT(Analytica!$D96,3))</f>
        <v>0.21692148210446247</v>
      </c>
      <c r="AC96" s="808">
        <f>1/SUMIFS('Vehicle data-proc2023'!AN$20:AN$111,'Vehicle data-proc2023'!$N$20:$N$111,Analytica!$C96,'Vehicle data-proc2023'!$Q$20:$Q$111,RIGHT(Analytica!$D96,3))</f>
        <v>0.22922115074584032</v>
      </c>
      <c r="AD96" s="808">
        <f>1/SUMIFS('Vehicle data-proc2023'!AO$20:AO$111,'Vehicle data-proc2023'!$N$20:$N$111,Analytica!$C96,'Vehicle data-proc2023'!$Q$20:$Q$111,RIGHT(Analytica!$D96,3))</f>
        <v>0.25345609679803616</v>
      </c>
      <c r="AE96" s="808">
        <f>1/SUMIFS('Vehicle data-proc2023'!AP$20:AP$111,'Vehicle data-proc2023'!$N$20:$N$111,Analytica!$C96,'Vehicle data-proc2023'!$Q$20:$Q$111,RIGHT(Analytica!$D96,3))</f>
        <v>0.28025333960269916</v>
      </c>
      <c r="AF96" s="808"/>
      <c r="AK96" s="809">
        <f>SUMIFS('Vehicle data-proc2023'!AD$20:AD$111,'Vehicle data-proc2023'!$N$20:$N$111,Analytica!$C96,'Vehicle data-proc2023'!$Q$20:$Q$111,RIGHT(Analytica!$D96,3))/1000</f>
        <v>6360.1061214327365</v>
      </c>
      <c r="AL96" s="809">
        <f>SUMIFS('Vehicle data-proc2023'!AE$20:AE$111,'Vehicle data-proc2023'!$N$20:$N$111,Analytica!$C96,'Vehicle data-proc2023'!$Q$20:$Q$111,RIGHT(Analytica!$D96,3))/1000</f>
        <v>2830.8818939991224</v>
      </c>
      <c r="AM96" s="809">
        <f>SUMIFS('Vehicle data-proc2023'!AF$20:AF$111,'Vehicle data-proc2023'!$N$20:$N$111,Analytica!$C96,'Vehicle data-proc2023'!$Q$20:$Q$111,RIGHT(Analytica!$D96,3))/1000</f>
        <v>2272.3443366048341</v>
      </c>
      <c r="AN96" s="809">
        <f>SUMIFS('Vehicle data-proc2023'!AG$20:AG$111,'Vehicle data-proc2023'!$N$20:$N$111,Analytica!$C96,'Vehicle data-proc2023'!$Q$20:$Q$111,RIGHT(Analytica!$D96,3))/1000</f>
        <v>1713.8067792105448</v>
      </c>
      <c r="AO96" s="809">
        <f>SUMIFS('Vehicle data-proc2023'!AH$20:AH$111,'Vehicle data-proc2023'!$N$20:$N$111,Analytica!$C96,'Vehicle data-proc2023'!$Q$20:$Q$111,RIGHT(Analytica!$D96,3))/1000</f>
        <v>1666.9045825543196</v>
      </c>
      <c r="AP96" s="809">
        <f>SUMIFS('Vehicle data-proc2023'!AI$20:AI$111,'Vehicle data-proc2023'!$N$20:$N$111,Analytica!$C96,'Vehicle data-proc2023'!$Q$20:$Q$111,RIGHT(Analytica!$D96,3))/1000</f>
        <v>1620.0023858980946</v>
      </c>
      <c r="AQ96" s="809">
        <f>SUMIFS('Vehicle data-proc2023'!AJ$20:AJ$111,'Vehicle data-proc2023'!$N$20:$N$111,Analytica!$C96,'Vehicle data-proc2023'!$Q$20:$Q$111,RIGHT(Analytica!$D96,3))/1000</f>
        <v>1578.8036770707315</v>
      </c>
      <c r="AR96" s="80"/>
      <c r="AT96" s="810">
        <f t="shared" si="73"/>
        <v>2.7E-2</v>
      </c>
      <c r="AU96" s="80">
        <f t="shared" si="74"/>
        <v>171.72286527868388</v>
      </c>
      <c r="AV96" s="80">
        <f t="shared" si="75"/>
        <v>76.433811137976306</v>
      </c>
      <c r="AW96" s="80">
        <f t="shared" si="76"/>
        <v>46.272783038684707</v>
      </c>
      <c r="AX96" s="80">
        <f t="shared" si="77"/>
        <v>43.740064419248554</v>
      </c>
      <c r="AY96" s="811">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06">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75"/>
      <c r="X97" s="174"/>
      <c r="Z97" s="808">
        <f t="shared" si="72"/>
        <v>0.19864470655692903</v>
      </c>
      <c r="AA97" s="808">
        <f>1/SUMIFS('Vehicle data-proc2023'!AL$20:AL$111,'Vehicle data-proc2023'!$N$20:$N$111,Analytica!$C97,'Vehicle data-proc2023'!$Q$20:$Q$111,RIGHT(Analytica!$D97,3))</f>
        <v>0.19924183453427008</v>
      </c>
      <c r="AB97" s="808">
        <f>1/SUMIFS('Vehicle data-proc2023'!AM$20:AM$111,'Vehicle data-proc2023'!$N$20:$N$111,Analytica!$C97,'Vehicle data-proc2023'!$Q$20:$Q$111,RIGHT(Analytica!$D97,3))</f>
        <v>0.19984075748429125</v>
      </c>
      <c r="AC97" s="808">
        <f>1/SUMIFS('Vehicle data-proc2023'!AN$20:AN$111,'Vehicle data-proc2023'!$N$20:$N$111,Analytica!$C97,'Vehicle data-proc2023'!$Q$20:$Q$111,RIGHT(Analytica!$D97,3))</f>
        <v>0.21117193166885198</v>
      </c>
      <c r="AD97" s="808">
        <f>1/SUMIFS('Vehicle data-proc2023'!AO$20:AO$111,'Vehicle data-proc2023'!$N$20:$N$111,Analytica!$C97,'Vehicle data-proc2023'!$Q$20:$Q$111,RIGHT(Analytica!$D97,3))</f>
        <v>0.23349858152241262</v>
      </c>
      <c r="AE97" s="808">
        <f>1/SUMIFS('Vehicle data-proc2023'!AP$20:AP$111,'Vehicle data-proc2023'!$N$20:$N$111,Analytica!$C97,'Vehicle data-proc2023'!$Q$20:$Q$111,RIGHT(Analytica!$D97,3))</f>
        <v>0.25818576901818791</v>
      </c>
      <c r="AF97" s="808"/>
      <c r="AK97" s="809">
        <f>SUMIFS('Vehicle data-proc2023'!AD$20:AD$111,'Vehicle data-proc2023'!$N$20:$N$111,Analytica!$C97,'Vehicle data-proc2023'!$Q$20:$Q$111,RIGHT(Analytica!$D97,3))/1000</f>
        <v>4181.3755668412123</v>
      </c>
      <c r="AL97" s="809">
        <f>SUMIFS('Vehicle data-proc2023'!AE$20:AE$111,'Vehicle data-proc2023'!$N$20:$N$111,Analytica!$C97,'Vehicle data-proc2023'!$Q$20:$Q$111,RIGHT(Analytica!$D97,3))/1000</f>
        <v>1813.1077355248217</v>
      </c>
      <c r="AM97" s="809">
        <f>SUMIFS('Vehicle data-proc2023'!AF$20:AF$111,'Vehicle data-proc2023'!$N$20:$N$111,Analytica!$C97,'Vehicle data-proc2023'!$Q$20:$Q$111,RIGHT(Analytica!$D97,3))/1000</f>
        <v>1437.1606416999607</v>
      </c>
      <c r="AN97" s="809">
        <f>SUMIFS('Vehicle data-proc2023'!AG$20:AG$111,'Vehicle data-proc2023'!$N$20:$N$111,Analytica!$C97,'Vehicle data-proc2023'!$Q$20:$Q$111,RIGHT(Analytica!$D97,3))/1000</f>
        <v>1061.2135478750995</v>
      </c>
      <c r="AO97" s="809">
        <f>SUMIFS('Vehicle data-proc2023'!AH$20:AH$111,'Vehicle data-proc2023'!$N$20:$N$111,Analytica!$C97,'Vehicle data-proc2023'!$Q$20:$Q$111,RIGHT(Analytica!$D97,3))/1000</f>
        <v>1011.9825087271777</v>
      </c>
      <c r="AP97" s="809">
        <f>SUMIFS('Vehicle data-proc2023'!AI$20:AI$111,'Vehicle data-proc2023'!$N$20:$N$111,Analytica!$C97,'Vehicle data-proc2023'!$Q$20:$Q$111,RIGHT(Analytica!$D97,3))/1000</f>
        <v>962.7514695792554</v>
      </c>
      <c r="AQ97" s="809">
        <f>SUMIFS('Vehicle data-proc2023'!AJ$20:AJ$111,'Vehicle data-proc2023'!$N$20:$N$111,Analytica!$C97,'Vehicle data-proc2023'!$Q$20:$Q$111,RIGHT(Analytica!$D97,3))/1000</f>
        <v>945.21587798179326</v>
      </c>
      <c r="AR97" s="80"/>
      <c r="AT97" s="810">
        <f t="shared" si="73"/>
        <v>2.7E-2</v>
      </c>
      <c r="AU97" s="80">
        <f t="shared" si="74"/>
        <v>112.89714030471274</v>
      </c>
      <c r="AV97" s="80">
        <f t="shared" si="75"/>
        <v>48.953908859170184</v>
      </c>
      <c r="AW97" s="80">
        <f t="shared" si="76"/>
        <v>28.652765792627687</v>
      </c>
      <c r="AX97" s="80">
        <f t="shared" si="77"/>
        <v>25.994289678639895</v>
      </c>
      <c r="AY97" s="811">
        <f t="shared" si="78"/>
        <v>25.520828705508418</v>
      </c>
      <c r="BA97" s="74">
        <f t="shared" si="49"/>
        <v>0</v>
      </c>
      <c r="BB97" s="61" t="s">
        <v>531</v>
      </c>
    </row>
    <row r="98" spans="1:57" x14ac:dyDescent="0.25">
      <c r="A98" s="61" t="str">
        <f t="shared" si="65"/>
        <v>CV6HGN</v>
      </c>
      <c r="B98" s="61" t="str">
        <f t="shared" si="51"/>
        <v>TFHCV6HGN-N</v>
      </c>
      <c r="C98" s="61" t="s">
        <v>504</v>
      </c>
      <c r="D98" s="61" t="str">
        <f t="shared" si="80"/>
        <v>TFHCV6</v>
      </c>
      <c r="E98" t="s">
        <v>1000</v>
      </c>
      <c r="F98" s="806">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75"/>
      <c r="X98" s="174"/>
      <c r="Z98" s="808">
        <f t="shared" si="72"/>
        <v>0.13701597728465742</v>
      </c>
      <c r="AA98" s="808">
        <f>1/SUMIFS('Vehicle data-proc2023'!AL$20:AL$111,'Vehicle data-proc2023'!$N$20:$N$111,Analytica!$C98,'Vehicle data-proc2023'!$Q$20:$Q$111,RIGHT(Analytica!$D98,3))</f>
        <v>0.13742784868459301</v>
      </c>
      <c r="AB98" s="808">
        <f>1/SUMIFS('Vehicle data-proc2023'!AM$20:AM$111,'Vehicle data-proc2023'!$N$20:$N$111,Analytica!$C98,'Vehicle data-proc2023'!$Q$20:$Q$111,RIGHT(Analytica!$D98,3))</f>
        <v>0.13784095817408171</v>
      </c>
      <c r="AC98" s="808">
        <f>1/SUMIFS('Vehicle data-proc2023'!AN$20:AN$111,'Vehicle data-proc2023'!$N$20:$N$111,Analytica!$C98,'Vehicle data-proc2023'!$Q$20:$Q$111,RIGHT(Analytica!$D98,3))</f>
        <v>0.1456566806848415</v>
      </c>
      <c r="AD98" s="808">
        <f>1/SUMIFS('Vehicle data-proc2023'!AO$20:AO$111,'Vehicle data-proc2023'!$N$20:$N$111,Analytica!$C98,'Vehicle data-proc2023'!$Q$20:$Q$111,RIGHT(Analytica!$D98,3))</f>
        <v>0.16105657631861348</v>
      </c>
      <c r="AE98" s="808">
        <f>1/SUMIFS('Vehicle data-proc2023'!AP$20:AP$111,'Vehicle data-proc2023'!$N$20:$N$111,Analytica!$C98,'Vehicle data-proc2023'!$Q$20:$Q$111,RIGHT(Analytica!$D98,3))</f>
        <v>0.17808466218997712</v>
      </c>
      <c r="AF98" s="808"/>
      <c r="AK98" s="809">
        <f>SUMIFS('Vehicle data-proc2023'!AD$20:AD$111,'Vehicle data-proc2023'!$N$20:$N$111,Analytica!$C98,'Vehicle data-proc2023'!$Q$20:$Q$111,RIGHT(Analytica!$D98,3))/1000</f>
        <v>4181.3755668412123</v>
      </c>
      <c r="AL98" s="809">
        <f>SUMIFS('Vehicle data-proc2023'!AE$20:AE$111,'Vehicle data-proc2023'!$N$20:$N$111,Analytica!$C98,'Vehicle data-proc2023'!$Q$20:$Q$111,RIGHT(Analytica!$D98,3))/1000</f>
        <v>1813.1077355248217</v>
      </c>
      <c r="AM98" s="809">
        <f>SUMIFS('Vehicle data-proc2023'!AF$20:AF$111,'Vehicle data-proc2023'!$N$20:$N$111,Analytica!$C98,'Vehicle data-proc2023'!$Q$20:$Q$111,RIGHT(Analytica!$D98,3))/1000</f>
        <v>1437.1606416999607</v>
      </c>
      <c r="AN98" s="809">
        <f>SUMIFS('Vehicle data-proc2023'!AG$20:AG$111,'Vehicle data-proc2023'!$N$20:$N$111,Analytica!$C98,'Vehicle data-proc2023'!$Q$20:$Q$111,RIGHT(Analytica!$D98,3))/1000</f>
        <v>1061.2135478750995</v>
      </c>
      <c r="AO98" s="809">
        <f>SUMIFS('Vehicle data-proc2023'!AH$20:AH$111,'Vehicle data-proc2023'!$N$20:$N$111,Analytica!$C98,'Vehicle data-proc2023'!$Q$20:$Q$111,RIGHT(Analytica!$D98,3))/1000</f>
        <v>1011.9825087271777</v>
      </c>
      <c r="AP98" s="809">
        <f>SUMIFS('Vehicle data-proc2023'!AI$20:AI$111,'Vehicle data-proc2023'!$N$20:$N$111,Analytica!$C98,'Vehicle data-proc2023'!$Q$20:$Q$111,RIGHT(Analytica!$D98,3))/1000</f>
        <v>962.7514695792554</v>
      </c>
      <c r="AQ98" s="809">
        <f>SUMIFS('Vehicle data-proc2023'!AJ$20:AJ$111,'Vehicle data-proc2023'!$N$20:$N$111,Analytica!$C98,'Vehicle data-proc2023'!$Q$20:$Q$111,RIGHT(Analytica!$D98,3))/1000</f>
        <v>945.21587798179326</v>
      </c>
      <c r="AR98" s="80"/>
      <c r="AT98" s="810">
        <f t="shared" si="73"/>
        <v>2.7E-2</v>
      </c>
      <c r="AU98" s="80">
        <f t="shared" si="74"/>
        <v>112.89714030471274</v>
      </c>
      <c r="AV98" s="80">
        <f t="shared" si="75"/>
        <v>48.953908859170184</v>
      </c>
      <c r="AW98" s="80">
        <f t="shared" si="76"/>
        <v>28.652765792627687</v>
      </c>
      <c r="AX98" s="80">
        <f t="shared" si="77"/>
        <v>25.994289678639895</v>
      </c>
      <c r="AY98" s="811">
        <f t="shared" si="78"/>
        <v>25.520828705508418</v>
      </c>
      <c r="BA98" s="74">
        <f t="shared" si="49"/>
        <v>0</v>
      </c>
      <c r="BB98" s="61" t="s">
        <v>531</v>
      </c>
    </row>
    <row r="99" spans="1:57" x14ac:dyDescent="0.25">
      <c r="A99" s="61" t="str">
        <f t="shared" si="65"/>
        <v>CV7HGN</v>
      </c>
      <c r="B99" s="61" t="str">
        <f t="shared" si="51"/>
        <v>TFHCV7HGN-N</v>
      </c>
      <c r="C99" s="61" t="s">
        <v>504</v>
      </c>
      <c r="D99" s="61" t="str">
        <f t="shared" si="80"/>
        <v>TFHCV7</v>
      </c>
      <c r="E99" t="s">
        <v>1001</v>
      </c>
      <c r="F99" s="806">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75"/>
      <c r="X99" s="174"/>
      <c r="Z99" s="808">
        <f t="shared" si="72"/>
        <v>0.147603705383693</v>
      </c>
      <c r="AA99" s="808">
        <f>1/SUMIFS('Vehicle data-proc2023'!AL$20:AL$111,'Vehicle data-proc2023'!$N$20:$N$111,Analytica!$C99,'Vehicle data-proc2023'!$Q$20:$Q$111,RIGHT(Analytica!$D99,3))</f>
        <v>0.14804740360033058</v>
      </c>
      <c r="AB99" s="808">
        <f>1/SUMIFS('Vehicle data-proc2023'!AM$20:AM$111,'Vehicle data-proc2023'!$N$20:$N$111,Analytica!$C99,'Vehicle data-proc2023'!$Q$20:$Q$111,RIGHT(Analytica!$D99,3))</f>
        <v>0.14849243557825104</v>
      </c>
      <c r="AC99" s="808">
        <f>1/SUMIFS('Vehicle data-proc2023'!AN$20:AN$111,'Vehicle data-proc2023'!$N$20:$N$111,Analytica!$C99,'Vehicle data-proc2023'!$Q$20:$Q$111,RIGHT(Analytica!$D99,3))</f>
        <v>0.15691210769022793</v>
      </c>
      <c r="AD99" s="808">
        <f>1/SUMIFS('Vehicle data-proc2023'!AO$20:AO$111,'Vehicle data-proc2023'!$N$20:$N$111,Analytica!$C99,'Vehicle data-proc2023'!$Q$20:$Q$111,RIGHT(Analytica!$D99,3))</f>
        <v>0.17350200985429787</v>
      </c>
      <c r="AE99" s="808">
        <f>1/SUMIFS('Vehicle data-proc2023'!AP$20:AP$111,'Vehicle data-proc2023'!$N$20:$N$111,Analytica!$C99,'Vehicle data-proc2023'!$Q$20:$Q$111,RIGHT(Analytica!$D99,3))</f>
        <v>0.19184591849922369</v>
      </c>
      <c r="AF99" s="808"/>
      <c r="AK99" s="809">
        <f>SUMIFS('Vehicle data-proc2023'!AD$20:AD$111,'Vehicle data-proc2023'!$N$20:$N$111,Analytica!$C99,'Vehicle data-proc2023'!$Q$20:$Q$111,RIGHT(Analytica!$D99,3))/1000</f>
        <v>9333.0662203088468</v>
      </c>
      <c r="AL99" s="809">
        <f>SUMIFS('Vehicle data-proc2023'!AE$20:AE$111,'Vehicle data-proc2023'!$N$20:$N$111,Analytica!$C99,'Vehicle data-proc2023'!$Q$20:$Q$111,RIGHT(Analytica!$D99,3))/1000</f>
        <v>3916.4561540345562</v>
      </c>
      <c r="AM99" s="809">
        <f>SUMIFS('Vehicle data-proc2023'!AF$20:AF$111,'Vehicle data-proc2023'!$N$20:$N$111,Analytica!$C99,'Vehicle data-proc2023'!$Q$20:$Q$111,RIGHT(Analytica!$D99,3))/1000</f>
        <v>3067.4051292542204</v>
      </c>
      <c r="AN99" s="809">
        <f>SUMIFS('Vehicle data-proc2023'!AG$20:AG$111,'Vehicle data-proc2023'!$N$20:$N$111,Analytica!$C99,'Vehicle data-proc2023'!$Q$20:$Q$111,RIGHT(Analytica!$D99,3))/1000</f>
        <v>2218.354104473884</v>
      </c>
      <c r="AO99" s="809">
        <f>SUMIFS('Vehicle data-proc2023'!AH$20:AH$111,'Vehicle data-proc2023'!$N$20:$N$111,Analytica!$C99,'Vehicle data-proc2023'!$Q$20:$Q$111,RIGHT(Analytica!$D99,3))/1000</f>
        <v>2106.6800881784152</v>
      </c>
      <c r="AP99" s="809">
        <f>SUMIFS('Vehicle data-proc2023'!AI$20:AI$111,'Vehicle data-proc2023'!$N$20:$N$111,Analytica!$C99,'Vehicle data-proc2023'!$Q$20:$Q$111,RIGHT(Analytica!$D99,3))/1000</f>
        <v>1995.0060718829463</v>
      </c>
      <c r="AQ99" s="809">
        <f>SUMIFS('Vehicle data-proc2023'!AJ$20:AJ$111,'Vehicle data-proc2023'!$N$20:$N$111,Analytica!$C99,'Vehicle data-proc2023'!$Q$20:$Q$111,RIGHT(Analytica!$D99,3))/1000</f>
        <v>1932.2424666352579</v>
      </c>
      <c r="AR99" s="80"/>
      <c r="AT99" s="810">
        <f t="shared" si="73"/>
        <v>2.7E-2</v>
      </c>
      <c r="AU99" s="80">
        <f t="shared" si="74"/>
        <v>251.99278794833887</v>
      </c>
      <c r="AV99" s="80">
        <f t="shared" si="75"/>
        <v>105.74431615893302</v>
      </c>
      <c r="AW99" s="80">
        <f t="shared" si="76"/>
        <v>59.89556082079487</v>
      </c>
      <c r="AX99" s="80">
        <f t="shared" si="77"/>
        <v>53.865163940839551</v>
      </c>
      <c r="AY99" s="811">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06">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75"/>
      <c r="X100" s="174"/>
      <c r="Z100" s="808">
        <f t="shared" si="72"/>
        <v>0.14524383426641169</v>
      </c>
      <c r="AA100" s="808">
        <f>1/SUMIFS('Vehicle data-proc2023'!AL$20:AL$111,'Vehicle data-proc2023'!$N$20:$N$111,Analytica!$C100,'Vehicle data-proc2023'!$Q$20:$Q$111,RIGHT(Analytica!$D100,3))</f>
        <v>0.14568043868683658</v>
      </c>
      <c r="AB100" s="808">
        <f>1/SUMIFS('Vehicle data-proc2023'!AM$20:AM$111,'Vehicle data-proc2023'!$N$20:$N$111,Analytica!$C100,'Vehicle data-proc2023'!$Q$20:$Q$111,RIGHT(Analytica!$D100,3))</f>
        <v>0.14611835554452188</v>
      </c>
      <c r="AC100" s="808">
        <f>1/SUMIFS('Vehicle data-proc2023'!AN$20:AN$111,'Vehicle data-proc2023'!$N$20:$N$111,Analytica!$C100,'Vehicle data-proc2023'!$Q$20:$Q$111,RIGHT(Analytica!$D100,3))</f>
        <v>0.15440341490418077</v>
      </c>
      <c r="AD100" s="808">
        <f>1/SUMIFS('Vehicle data-proc2023'!AO$20:AO$111,'Vehicle data-proc2023'!$N$20:$N$111,Analytica!$C100,'Vehicle data-proc2023'!$Q$20:$Q$111,RIGHT(Analytica!$D100,3))</f>
        <v>0.17072807961466688</v>
      </c>
      <c r="AE100" s="808">
        <f>1/SUMIFS('Vehicle data-proc2023'!AP$20:AP$111,'Vehicle data-proc2023'!$N$20:$N$111,Analytica!$C100,'Vehicle data-proc2023'!$Q$20:$Q$111,RIGHT(Analytica!$D100,3))</f>
        <v>0.18877870795150914</v>
      </c>
      <c r="AF100" s="808"/>
      <c r="AK100" s="809">
        <f>SUMIFS('Vehicle data-proc2023'!AD$20:AD$111,'Vehicle data-proc2023'!$N$20:$N$111,Analytica!$C100,'Vehicle data-proc2023'!$Q$20:$Q$111,RIGHT(Analytica!$D100,3))/1000</f>
        <v>9333.0662203088468</v>
      </c>
      <c r="AL100" s="809">
        <f>SUMIFS('Vehicle data-proc2023'!AE$20:AE$111,'Vehicle data-proc2023'!$N$20:$N$111,Analytica!$C100,'Vehicle data-proc2023'!$Q$20:$Q$111,RIGHT(Analytica!$D100,3))/1000</f>
        <v>3916.4561540345562</v>
      </c>
      <c r="AM100" s="809">
        <f>SUMIFS('Vehicle data-proc2023'!AF$20:AF$111,'Vehicle data-proc2023'!$N$20:$N$111,Analytica!$C100,'Vehicle data-proc2023'!$Q$20:$Q$111,RIGHT(Analytica!$D100,3))/1000</f>
        <v>3067.4051292542204</v>
      </c>
      <c r="AN100" s="809">
        <f>SUMIFS('Vehicle data-proc2023'!AG$20:AG$111,'Vehicle data-proc2023'!$N$20:$N$111,Analytica!$C100,'Vehicle data-proc2023'!$Q$20:$Q$111,RIGHT(Analytica!$D100,3))/1000</f>
        <v>2218.354104473884</v>
      </c>
      <c r="AO100" s="809">
        <f>SUMIFS('Vehicle data-proc2023'!AH$20:AH$111,'Vehicle data-proc2023'!$N$20:$N$111,Analytica!$C100,'Vehicle data-proc2023'!$Q$20:$Q$111,RIGHT(Analytica!$D100,3))/1000</f>
        <v>2106.6800881784152</v>
      </c>
      <c r="AP100" s="809">
        <f>SUMIFS('Vehicle data-proc2023'!AI$20:AI$111,'Vehicle data-proc2023'!$N$20:$N$111,Analytica!$C100,'Vehicle data-proc2023'!$Q$20:$Q$111,RIGHT(Analytica!$D100,3))/1000</f>
        <v>1995.0060718829463</v>
      </c>
      <c r="AQ100" s="809">
        <f>SUMIFS('Vehicle data-proc2023'!AJ$20:AJ$111,'Vehicle data-proc2023'!$N$20:$N$111,Analytica!$C100,'Vehicle data-proc2023'!$Q$20:$Q$111,RIGHT(Analytica!$D100,3))/1000</f>
        <v>1932.2424666352579</v>
      </c>
      <c r="AR100" s="80"/>
      <c r="AT100" s="810">
        <f t="shared" si="73"/>
        <v>2.7E-2</v>
      </c>
      <c r="AU100" s="80">
        <f t="shared" si="74"/>
        <v>251.99278794833887</v>
      </c>
      <c r="AV100" s="80">
        <f t="shared" si="75"/>
        <v>105.74431615893302</v>
      </c>
      <c r="AW100" s="80">
        <f t="shared" si="76"/>
        <v>59.89556082079487</v>
      </c>
      <c r="AX100" s="80">
        <f t="shared" si="77"/>
        <v>53.865163940839551</v>
      </c>
      <c r="AY100" s="811">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06">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73" t="s">
        <v>532</v>
      </c>
      <c r="T101" s="172"/>
      <c r="U101" s="172"/>
      <c r="V101" s="172"/>
      <c r="W101" s="172"/>
      <c r="X101" s="171" t="s">
        <v>532</v>
      </c>
      <c r="Z101" s="808">
        <f t="shared" si="72"/>
        <v>0.1141305625102096</v>
      </c>
      <c r="AA101" s="808">
        <f>1/SUMIFS('Vehicle data-proc2023'!AL$20:AL$111,'Vehicle data-proc2023'!$N$20:$N$111,Analytica!$C101,'Vehicle data-proc2023'!$Q$20:$Q$111,RIGHT(Analytica!$D101,3))</f>
        <v>0.11447364012413526</v>
      </c>
      <c r="AB101" s="808">
        <f>1/SUMIFS('Vehicle data-proc2023'!AM$20:AM$111,'Vehicle data-proc2023'!$N$20:$N$111,Analytica!$C101,'Vehicle data-proc2023'!$Q$20:$Q$111,RIGHT(Analytica!$D101,3))</f>
        <v>0.11481774903280431</v>
      </c>
      <c r="AC101" s="808">
        <f>1/SUMIFS('Vehicle data-proc2023'!AN$20:AN$111,'Vehicle data-proc2023'!$N$20:$N$111,Analytica!$C101,'Vehicle data-proc2023'!$Q$20:$Q$111,RIGHT(Analytica!$D101,3))</f>
        <v>0.12132803217097823</v>
      </c>
      <c r="AD101" s="808">
        <f>1/SUMIFS('Vehicle data-proc2023'!AO$20:AO$111,'Vehicle data-proc2023'!$N$20:$N$111,Analytica!$C101,'Vehicle data-proc2023'!$Q$20:$Q$111,RIGHT(Analytica!$D101,3))</f>
        <v>0.13415572413882385</v>
      </c>
      <c r="AE101" s="808">
        <f>1/SUMIFS('Vehicle data-proc2023'!AP$20:AP$111,'Vehicle data-proc2023'!$N$20:$N$111,Analytica!$C101,'Vehicle data-proc2023'!$Q$20:$Q$111,RIGHT(Analytica!$D101,3))</f>
        <v>0.14833965405331348</v>
      </c>
      <c r="AF101" s="808"/>
      <c r="AK101" s="809">
        <f>SUMIFS('Vehicle data-proc2023'!AD$20:AD$111,'Vehicle data-proc2023'!$N$20:$N$111,Analytica!$C101,'Vehicle data-proc2023'!$Q$20:$Q$111,RIGHT(Analytica!$D101,3))/1000</f>
        <v>9333.0662203088468</v>
      </c>
      <c r="AL101" s="809">
        <f>SUMIFS('Vehicle data-proc2023'!AE$20:AE$111,'Vehicle data-proc2023'!$N$20:$N$111,Analytica!$C101,'Vehicle data-proc2023'!$Q$20:$Q$111,RIGHT(Analytica!$D101,3))/1000</f>
        <v>3916.4561540345562</v>
      </c>
      <c r="AM101" s="809">
        <f>SUMIFS('Vehicle data-proc2023'!AF$20:AF$111,'Vehicle data-proc2023'!$N$20:$N$111,Analytica!$C101,'Vehicle data-proc2023'!$Q$20:$Q$111,RIGHT(Analytica!$D101,3))/1000</f>
        <v>3067.4051292542204</v>
      </c>
      <c r="AN101" s="809">
        <f>SUMIFS('Vehicle data-proc2023'!AG$20:AG$111,'Vehicle data-proc2023'!$N$20:$N$111,Analytica!$C101,'Vehicle data-proc2023'!$Q$20:$Q$111,RIGHT(Analytica!$D101,3))/1000</f>
        <v>2218.354104473884</v>
      </c>
      <c r="AO101" s="809">
        <f>SUMIFS('Vehicle data-proc2023'!AH$20:AH$111,'Vehicle data-proc2023'!$N$20:$N$111,Analytica!$C101,'Vehicle data-proc2023'!$Q$20:$Q$111,RIGHT(Analytica!$D101,3))/1000</f>
        <v>2106.6800881784152</v>
      </c>
      <c r="AP101" s="809">
        <f>SUMIFS('Vehicle data-proc2023'!AI$20:AI$111,'Vehicle data-proc2023'!$N$20:$N$111,Analytica!$C101,'Vehicle data-proc2023'!$Q$20:$Q$111,RIGHT(Analytica!$D101,3))/1000</f>
        <v>1995.0060718829463</v>
      </c>
      <c r="AQ101" s="809">
        <f>SUMIFS('Vehicle data-proc2023'!AJ$20:AJ$111,'Vehicle data-proc2023'!$N$20:$N$111,Analytica!$C101,'Vehicle data-proc2023'!$Q$20:$Q$111,RIGHT(Analytica!$D101,3))/1000</f>
        <v>1932.2424666352579</v>
      </c>
      <c r="AR101" s="80"/>
      <c r="AT101" s="810">
        <f t="shared" si="73"/>
        <v>2.7E-2</v>
      </c>
      <c r="AU101" s="80">
        <f t="shared" si="74"/>
        <v>251.99278794833887</v>
      </c>
      <c r="AV101" s="80">
        <f t="shared" si="75"/>
        <v>105.74431615893302</v>
      </c>
      <c r="AW101" s="80">
        <f t="shared" si="76"/>
        <v>59.89556082079487</v>
      </c>
      <c r="AX101" s="80">
        <f t="shared" si="77"/>
        <v>53.865163940839551</v>
      </c>
      <c r="AY101" s="811">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06">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20">
        <f>S116/S118*S104</f>
        <v>11.966666666666667</v>
      </c>
      <c r="T102" s="80">
        <f>W33</f>
        <v>11.124053535325499</v>
      </c>
      <c r="U102" s="187">
        <f t="shared" ref="U102:X107" si="85">T102/((1+U$53)^(U$58-T$58))</f>
        <v>10.478584785756766</v>
      </c>
      <c r="V102" s="187">
        <f t="shared" si="85"/>
        <v>9.7241597219628435</v>
      </c>
      <c r="W102" s="187">
        <f t="shared" si="85"/>
        <v>9.0240508839300659</v>
      </c>
      <c r="X102" s="187">
        <f t="shared" si="85"/>
        <v>8.3743476746720358</v>
      </c>
      <c r="Z102" s="808">
        <f>SUMIF($AC$56:$AC$57,$C102,$AD$56:$AD$57)/S102</f>
        <v>0.21292916829156933</v>
      </c>
      <c r="AA102" s="808">
        <f>1/SUMIFS('Vehicle data-proc2023'!AL$20:AL$111,'Vehicle data-proc2023'!$N$20:$N$111,Analytica!$C102,'Vehicle data-proc2023'!$Q$20:$Q$111,RIGHT(Analytica!$D102,3))</f>
        <v>0.23594563867169499</v>
      </c>
      <c r="AB102" s="808">
        <f>1/SUMIFS('Vehicle data-proc2023'!AM$20:AM$111,'Vehicle data-proc2023'!$N$20:$N$111,Analytica!$C102,'Vehicle data-proc2023'!$Q$20:$Q$111,RIGHT(Analytica!$D102,3))</f>
        <v>0.23665489362454264</v>
      </c>
      <c r="AC102" s="808">
        <f>1/SUMIFS('Vehicle data-proc2023'!AN$20:AN$111,'Vehicle data-proc2023'!$N$20:$N$111,Analytica!$C102,'Vehicle data-proc2023'!$Q$20:$Q$111,RIGHT(Analytica!$D102,3))</f>
        <v>0.25007346676770725</v>
      </c>
      <c r="AD102" s="808">
        <f>1/SUMIFS('Vehicle data-proc2023'!AO$20:AO$111,'Vehicle data-proc2023'!$N$20:$N$111,Analytica!$C102,'Vehicle data-proc2023'!$Q$20:$Q$111,RIGHT(Analytica!$D102,3))</f>
        <v>0.27651307304523115</v>
      </c>
      <c r="AE102" s="808">
        <f>1/SUMIFS('Vehicle data-proc2023'!AP$20:AP$111,'Vehicle data-proc2023'!$N$20:$N$111,Analytica!$C102,'Vehicle data-proc2023'!$Q$20:$Q$111,RIGHT(Analytica!$D102,3))</f>
        <v>0.30574806897022955</v>
      </c>
      <c r="AF102" s="808"/>
      <c r="AH102" s="821">
        <f>AH116/AH118*AH104</f>
        <v>64.352048125819607</v>
      </c>
      <c r="AI102" s="821">
        <v>285.80088368995087</v>
      </c>
      <c r="AJ102" s="80"/>
      <c r="AK102" s="809">
        <f>SUMIFS('Vehicle data-proc2023'!AD$20:AD$111,'Vehicle data-proc2023'!$N$20:$N$111,Analytica!$C102,'Vehicle data-proc2023'!$Q$20:$Q$111,RIGHT(Analytica!$D102,3))/1000</f>
        <v>449.29991329948109</v>
      </c>
      <c r="AL102" s="809">
        <f>SUMIFS('Vehicle data-proc2023'!AE$20:AE$111,'Vehicle data-proc2023'!$N$20:$N$111,Analytica!$C102,'Vehicle data-proc2023'!$Q$20:$Q$111,RIGHT(Analytica!$D102,3))/1000</f>
        <v>496.02431464990411</v>
      </c>
      <c r="AM102" s="809">
        <f>SUMIFS('Vehicle data-proc2023'!AF$20:AF$111,'Vehicle data-proc2023'!$N$20:$N$111,Analytica!$C102,'Vehicle data-proc2023'!$Q$20:$Q$111,RIGHT(Analytica!$D102,3))/1000</f>
        <v>504.86263896951328</v>
      </c>
      <c r="AN102" s="809">
        <f>SUMIFS('Vehicle data-proc2023'!AG$20:AG$111,'Vehicle data-proc2023'!$N$20:$N$111,Analytica!$C102,'Vehicle data-proc2023'!$Q$20:$Q$111,RIGHT(Analytica!$D102,3))/1000</f>
        <v>363.56136717159279</v>
      </c>
      <c r="AO102" s="809">
        <f>SUMIFS('Vehicle data-proc2023'!AH$20:AH$111,'Vehicle data-proc2023'!$N$20:$N$111,Analytica!$C102,'Vehicle data-proc2023'!$Q$20:$Q$111,RIGHT(Analytica!$D102,3))/1000</f>
        <v>371.50085823323019</v>
      </c>
      <c r="AP102" s="809">
        <f>SUMIFS('Vehicle data-proc2023'!AI$20:AI$111,'Vehicle data-proc2023'!$N$20:$N$111,Analytica!$C102,'Vehicle data-proc2023'!$Q$20:$Q$111,RIGHT(Analytica!$D102,3))/1000</f>
        <v>379.44034929486759</v>
      </c>
      <c r="AQ102" s="809">
        <f>SUMIFS('Vehicle data-proc2023'!AJ$20:AJ$111,'Vehicle data-proc2023'!$N$20:$N$111,Analytica!$C102,'Vehicle data-proc2023'!$Q$20:$Q$111,RIGHT(Analytica!$D102,3))/1000</f>
        <v>387.39622422821134</v>
      </c>
      <c r="AR102" s="80"/>
      <c r="AT102" s="810">
        <f t="shared" si="73"/>
        <v>2.7E-2</v>
      </c>
      <c r="AU102" s="80">
        <f t="shared" si="74"/>
        <v>12.13109765908599</v>
      </c>
      <c r="AV102" s="80">
        <f t="shared" si="75"/>
        <v>13.392656495547412</v>
      </c>
      <c r="AW102" s="80">
        <f t="shared" si="76"/>
        <v>9.8161569136330051</v>
      </c>
      <c r="AX102" s="80">
        <f t="shared" si="77"/>
        <v>10.244889430961425</v>
      </c>
      <c r="AY102" s="811">
        <f t="shared" si="78"/>
        <v>10.459698054161706</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06">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20">
        <f>S117/S119*S106</f>
        <v>15.751426694738184</v>
      </c>
      <c r="T103" s="80">
        <f>W34</f>
        <v>14.176565003733501</v>
      </c>
      <c r="U103" s="187">
        <f t="shared" si="85"/>
        <v>13.353975499189914</v>
      </c>
      <c r="V103" s="187">
        <f t="shared" si="85"/>
        <v>12.392531370630406</v>
      </c>
      <c r="W103" s="187">
        <f t="shared" si="85"/>
        <v>11.500308187728439</v>
      </c>
      <c r="X103" s="187">
        <f t="shared" si="85"/>
        <v>10.67232226066222</v>
      </c>
      <c r="Z103" s="808">
        <f>AA103/AA102 *Z102</f>
        <v>0.21837716429938203</v>
      </c>
      <c r="AA103" s="808">
        <f>1/SUMIFS('Vehicle data-proc2023'!AL$20:AL$111,'Vehicle data-proc2023'!$N$20:$N$111,Analytica!$C103,'Vehicle data-proc2023'!$Q$20:$Q$111,RIGHT(Analytica!$D103,3))</f>
        <v>0.24198253304299144</v>
      </c>
      <c r="AB103" s="808">
        <f>1/SUMIFS('Vehicle data-proc2023'!AM$20:AM$111,'Vehicle data-proc2023'!$N$20:$N$111,Analytica!$C103,'Vehicle data-proc2023'!$Q$20:$Q$111,RIGHT(Analytica!$D103,3))</f>
        <v>0.24270993496077886</v>
      </c>
      <c r="AC103" s="808">
        <f>1/SUMIFS('Vehicle data-proc2023'!AN$20:AN$111,'Vehicle data-proc2023'!$N$20:$N$111,Analytica!$C103,'Vehicle data-proc2023'!$Q$20:$Q$111,RIGHT(Analytica!$D103,3))</f>
        <v>0.25647183510559879</v>
      </c>
      <c r="AD103" s="808">
        <f>1/SUMIFS('Vehicle data-proc2023'!AO$20:AO$111,'Vehicle data-proc2023'!$N$20:$N$111,Analytica!$C103,'Vehicle data-proc2023'!$Q$20:$Q$111,RIGHT(Analytica!$D103,3))</f>
        <v>0.28358792394586324</v>
      </c>
      <c r="AE103" s="808">
        <f>1/SUMIFS('Vehicle data-proc2023'!AP$20:AP$111,'Vehicle data-proc2023'!$N$20:$N$111,Analytica!$C103,'Vehicle data-proc2023'!$Q$20:$Q$111,RIGHT(Analytica!$D103,3))</f>
        <v>0.31357092514588203</v>
      </c>
      <c r="AF103" s="808"/>
      <c r="AH103" s="821">
        <f>AH117/AH118*AH106</f>
        <v>156.3771639383817</v>
      </c>
      <c r="AI103" s="821">
        <v>286.80088368995098</v>
      </c>
      <c r="AJ103" s="80"/>
      <c r="AK103" s="809">
        <f>SUMIFS('Vehicle data-proc2023'!AD$20:AD$111,'Vehicle data-proc2023'!$N$20:$N$111,Analytica!$C103,'Vehicle data-proc2023'!$Q$20:$Q$111,RIGHT(Analytica!$D103,3))/1000</f>
        <v>675.8697411149459</v>
      </c>
      <c r="AL103" s="809">
        <f>SUMIFS('Vehicle data-proc2023'!AE$20:AE$111,'Vehicle data-proc2023'!$N$20:$N$111,Analytica!$C103,'Vehicle data-proc2023'!$Q$20:$Q$111,RIGHT(Analytica!$D103,3))/1000</f>
        <v>667.06718177056041</v>
      </c>
      <c r="AM103" s="809">
        <f>SUMIFS('Vehicle data-proc2023'!AF$20:AF$111,'Vehicle data-proc2023'!$N$20:$N$111,Analytica!$C103,'Vehicle data-proc2023'!$Q$20:$Q$111,RIGHT(Analytica!$D103,3))/1000</f>
        <v>662.58461022237543</v>
      </c>
      <c r="AN103" s="809">
        <f>SUMIFS('Vehicle data-proc2023'!AG$20:AG$111,'Vehicle data-proc2023'!$N$20:$N$111,Analytica!$C103,'Vehicle data-proc2023'!$Q$20:$Q$111,RIGHT(Analytica!$D103,3))/1000</f>
        <v>658.10203867419057</v>
      </c>
      <c r="AO103" s="809">
        <f>SUMIFS('Vehicle data-proc2023'!AH$20:AH$111,'Vehicle data-proc2023'!$N$20:$N$111,Analytica!$C103,'Vehicle data-proc2023'!$Q$20:$Q$111,RIGHT(Analytica!$D103,3))/1000</f>
        <v>371.50085823323019</v>
      </c>
      <c r="AP103" s="809">
        <f>SUMIFS('Vehicle data-proc2023'!AI$20:AI$111,'Vehicle data-proc2023'!$N$20:$N$111,Analytica!$C103,'Vehicle data-proc2023'!$Q$20:$Q$111,RIGHT(Analytica!$D103,3))/1000</f>
        <v>379.44034929486759</v>
      </c>
      <c r="AQ103" s="809">
        <f>SUMIFS('Vehicle data-proc2023'!AJ$20:AJ$111,'Vehicle data-proc2023'!$N$20:$N$111,Analytica!$C103,'Vehicle data-proc2023'!$Q$20:$Q$111,RIGHT(Analytica!$D103,3))/1000</f>
        <v>387.39622422821134</v>
      </c>
      <c r="AR103" s="80"/>
      <c r="AT103" s="810">
        <f t="shared" si="73"/>
        <v>2.7E-2</v>
      </c>
      <c r="AU103" s="80">
        <f t="shared" si="74"/>
        <v>18.248483010103538</v>
      </c>
      <c r="AV103" s="80">
        <f t="shared" si="75"/>
        <v>18.010813907805129</v>
      </c>
      <c r="AW103" s="80">
        <f t="shared" si="76"/>
        <v>17.768755044203147</v>
      </c>
      <c r="AX103" s="80">
        <f t="shared" si="77"/>
        <v>10.244889430961425</v>
      </c>
      <c r="AY103" s="811">
        <f t="shared" si="78"/>
        <v>10.459698054161706</v>
      </c>
      <c r="BA103" s="164">
        <f t="shared" si="49"/>
        <v>0</v>
      </c>
      <c r="BC103" s="167"/>
    </row>
    <row r="104" spans="1:57" x14ac:dyDescent="0.25">
      <c r="A104" s="61" t="str">
        <f t="shared" si="65"/>
        <v>LCVOGS</v>
      </c>
      <c r="B104" s="61" t="str">
        <f t="shared" si="51"/>
        <v>TFLCVOGS-N</v>
      </c>
      <c r="C104" s="61" t="s">
        <v>573</v>
      </c>
      <c r="D104" s="61" t="s">
        <v>527</v>
      </c>
      <c r="E104" s="61" t="s">
        <v>246</v>
      </c>
      <c r="F104" s="806">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61">
        <v>14.36</v>
      </c>
      <c r="T104" s="80">
        <f>W34</f>
        <v>14.176565003733501</v>
      </c>
      <c r="U104" s="187">
        <f t="shared" si="85"/>
        <v>13.353975499189914</v>
      </c>
      <c r="V104" s="187">
        <f t="shared" si="85"/>
        <v>12.392531370630406</v>
      </c>
      <c r="W104" s="187">
        <f t="shared" si="85"/>
        <v>11.500308187728439</v>
      </c>
      <c r="X104" s="187">
        <f t="shared" si="85"/>
        <v>10.67232226066222</v>
      </c>
      <c r="Z104" s="808">
        <f>SUMIF($AC$56:$AC$57,$C104,$AD$56:$AD$57)/S104</f>
        <v>0.20361954096010662</v>
      </c>
      <c r="AA104" s="808">
        <f>1/SUMIFS('Vehicle data-proc2023'!AL$20:AL$111,'Vehicle data-proc2023'!$N$20:$N$111,Analytica!$C104,'Vehicle data-proc2023'!$Q$20:$Q$111,RIGHT(Analytica!$D104,3))</f>
        <v>0.206254237709705</v>
      </c>
      <c r="AB104" s="808">
        <f>1/SUMIFS('Vehicle data-proc2023'!AM$20:AM$111,'Vehicle data-proc2023'!$N$20:$N$111,Analytica!$C104,'Vehicle data-proc2023'!$Q$20:$Q$111,RIGHT(Analytica!$D104,3))</f>
        <v>0.2068742400139009</v>
      </c>
      <c r="AC104" s="808">
        <f>1/SUMIFS('Vehicle data-proc2023'!AN$20:AN$111,'Vehicle data-proc2023'!$N$20:$N$111,Analytica!$C104,'Vehicle data-proc2023'!$Q$20:$Q$111,RIGHT(Analytica!$D104,3))</f>
        <v>0.21860421981084194</v>
      </c>
      <c r="AD104" s="808">
        <f>1/SUMIFS('Vehicle data-proc2023'!AO$20:AO$111,'Vehicle data-proc2023'!$N$20:$N$111,Analytica!$C104,'Vehicle data-proc2023'!$Q$20:$Q$111,RIGHT(Analytica!$D104,3))</f>
        <v>0.24171666583364532</v>
      </c>
      <c r="AE104" s="808">
        <f>1/SUMIFS('Vehicle data-proc2023'!AP$20:AP$111,'Vehicle data-proc2023'!$N$20:$N$111,Analytica!$C104,'Vehicle data-proc2023'!$Q$20:$Q$111,RIGHT(Analytica!$D104,3))</f>
        <v>0.26727272964945947</v>
      </c>
      <c r="AF104" s="808"/>
      <c r="AH104" s="80">
        <v>62.089100000000002</v>
      </c>
      <c r="AI104" s="80">
        <v>183.51728669017189</v>
      </c>
      <c r="AJ104" s="80"/>
      <c r="AK104" s="809">
        <f>SUMIFS('Vehicle data-proc2023'!AD$20:AD$111,'Vehicle data-proc2023'!$N$20:$N$111,Analytica!$C104,'Vehicle data-proc2023'!$Q$20:$Q$111,RIGHT(Analytica!$D104,3))/1000</f>
        <v>322.55453757929689</v>
      </c>
      <c r="AL104" s="809">
        <f>SUMIFS('Vehicle data-proc2023'!AE$20:AE$111,'Vehicle data-proc2023'!$N$20:$N$111,Analytica!$C104,'Vehicle data-proc2023'!$Q$20:$Q$111,RIGHT(Analytica!$D104,3))/1000</f>
        <v>350.63787759734595</v>
      </c>
      <c r="AM104" s="809">
        <f>SUMIFS('Vehicle data-proc2023'!AF$20:AF$111,'Vehicle data-proc2023'!$N$20:$N$111,Analytica!$C104,'Vehicle data-proc2023'!$Q$20:$Q$111,RIGHT(Analytica!$D104,3))/1000</f>
        <v>357.09962238446946</v>
      </c>
      <c r="AN104" s="809">
        <f>SUMIFS('Vehicle data-proc2023'!AG$20:AG$111,'Vehicle data-proc2023'!$N$20:$N$111,Analytica!$C104,'Vehicle data-proc2023'!$Q$20:$Q$111,RIGHT(Analytica!$D104,3))/1000</f>
        <v>363.56136717159279</v>
      </c>
      <c r="AO104" s="809">
        <f>SUMIFS('Vehicle data-proc2023'!AH$20:AH$111,'Vehicle data-proc2023'!$N$20:$N$111,Analytica!$C104,'Vehicle data-proc2023'!$Q$20:$Q$111,RIGHT(Analytica!$D104,3))/1000</f>
        <v>371.50085823323019</v>
      </c>
      <c r="AP104" s="809">
        <f>SUMIFS('Vehicle data-proc2023'!AI$20:AI$111,'Vehicle data-proc2023'!$N$20:$N$111,Analytica!$C104,'Vehicle data-proc2023'!$Q$20:$Q$111,RIGHT(Analytica!$D104,3))/1000</f>
        <v>379.44034929486759</v>
      </c>
      <c r="AQ104" s="809">
        <f>SUMIFS('Vehicle data-proc2023'!AJ$20:AJ$111,'Vehicle data-proc2023'!$N$20:$N$111,Analytica!$C104,'Vehicle data-proc2023'!$Q$20:$Q$111,RIGHT(Analytica!$D104,3))/1000</f>
        <v>387.39622422821134</v>
      </c>
      <c r="AR104" s="80"/>
      <c r="AT104" s="810">
        <f t="shared" si="73"/>
        <v>2.7E-2</v>
      </c>
      <c r="AU104" s="80">
        <f t="shared" si="74"/>
        <v>8.7089725146410153</v>
      </c>
      <c r="AV104" s="80">
        <f t="shared" si="75"/>
        <v>9.4672226951283402</v>
      </c>
      <c r="AW104" s="80">
        <f t="shared" si="76"/>
        <v>9.8161569136330051</v>
      </c>
      <c r="AX104" s="80">
        <f t="shared" si="77"/>
        <v>10.244889430961425</v>
      </c>
      <c r="AY104" s="811">
        <f t="shared" si="78"/>
        <v>10.459698054161706</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06">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61">
        <v>15.36</v>
      </c>
      <c r="T105" s="80">
        <f>W35</f>
        <v>11.0775109229247</v>
      </c>
      <c r="U105" s="187">
        <f t="shared" si="85"/>
        <v>10.434742789793365</v>
      </c>
      <c r="V105" s="187">
        <f t="shared" si="85"/>
        <v>9.6834742114674519</v>
      </c>
      <c r="W105" s="187">
        <f t="shared" si="85"/>
        <v>8.9862946019019283</v>
      </c>
      <c r="X105" s="187">
        <f t="shared" si="85"/>
        <v>8.3393097258978717</v>
      </c>
      <c r="Z105" s="808">
        <f>AA105/AA104*Z104</f>
        <v>0.26648447154333066</v>
      </c>
      <c r="AA105" s="808">
        <f>1/SUMIFS('Vehicle data-proc2023'!AL$20:AL$111,'Vehicle data-proc2023'!$N$20:$N$111,Analytica!$C105,'Vehicle data-proc2023'!$Q$20:$Q$111,RIGHT(Analytica!$D105,3))</f>
        <v>0.26993259723737301</v>
      </c>
      <c r="AB105" s="808">
        <f>1/SUMIFS('Vehicle data-proc2023'!AM$20:AM$111,'Vehicle data-proc2023'!$N$20:$N$111,Analytica!$C105,'Vehicle data-proc2023'!$Q$20:$Q$111,RIGHT(Analytica!$D105,3))</f>
        <v>0.2707440173280492</v>
      </c>
      <c r="AC105" s="808">
        <f>1/SUMIFS('Vehicle data-proc2023'!AN$20:AN$111,'Vehicle data-proc2023'!$N$20:$N$111,Analytica!$C105,'Vehicle data-proc2023'!$Q$20:$Q$111,RIGHT(Analytica!$D105,3))</f>
        <v>0.28609547845335548</v>
      </c>
      <c r="AD105" s="808">
        <f>1/SUMIFS('Vehicle data-proc2023'!AO$20:AO$111,'Vehicle data-proc2023'!$N$20:$N$111,Analytica!$C105,'Vehicle data-proc2023'!$Q$20:$Q$111,RIGHT(Analytica!$D105,3))</f>
        <v>0.31634359675977686</v>
      </c>
      <c r="AE105" s="808">
        <f>1/SUMIFS('Vehicle data-proc2023'!AP$20:AP$111,'Vehicle data-proc2023'!$N$20:$N$111,Analytica!$C105,'Vehicle data-proc2023'!$Q$20:$Q$111,RIGHT(Analytica!$D105,3))</f>
        <v>0.3497897686181996</v>
      </c>
      <c r="AF105" s="808"/>
      <c r="AH105" s="80">
        <v>62.089100000000002</v>
      </c>
      <c r="AI105" s="80">
        <v>183.51728669017189</v>
      </c>
      <c r="AJ105" s="80"/>
      <c r="AK105" s="809">
        <f>SUMIFS('Vehicle data-proc2023'!AD$20:AD$111,'Vehicle data-proc2023'!$N$20:$N$111,Analytica!$C105,'Vehicle data-proc2023'!$Q$20:$Q$111,RIGHT(Analytica!$D105,3))/1000</f>
        <v>456.4662978746764</v>
      </c>
      <c r="AL105" s="809">
        <f>SUMIFS('Vehicle data-proc2023'!AE$20:AE$111,'Vehicle data-proc2023'!$N$20:$N$111,Analytica!$C105,'Vehicle data-proc2023'!$Q$20:$Q$111,RIGHT(Analytica!$D105,3))/1000</f>
        <v>444.71145451370705</v>
      </c>
      <c r="AM105" s="809">
        <f>SUMIFS('Vehicle data-proc2023'!AF$20:AF$111,'Vehicle data-proc2023'!$N$20:$N$111,Analytica!$C105,'Vehicle data-proc2023'!$Q$20:$Q$111,RIGHT(Analytica!$D105,3))/1000</f>
        <v>441.88643413290185</v>
      </c>
      <c r="AN105" s="809">
        <f>SUMIFS('Vehicle data-proc2023'!AG$20:AG$111,'Vehicle data-proc2023'!$N$20:$N$111,Analytica!$C105,'Vehicle data-proc2023'!$Q$20:$Q$111,RIGHT(Analytica!$D105,3))/1000</f>
        <v>439.06141375209666</v>
      </c>
      <c r="AO105" s="809">
        <f>SUMIFS('Vehicle data-proc2023'!AH$20:AH$111,'Vehicle data-proc2023'!$N$20:$N$111,Analytica!$C105,'Vehicle data-proc2023'!$Q$20:$Q$111,RIGHT(Analytica!$D105,3))/1000</f>
        <v>371.50085823323019</v>
      </c>
      <c r="AP105" s="809">
        <f>SUMIFS('Vehicle data-proc2023'!AI$20:AI$111,'Vehicle data-proc2023'!$N$20:$N$111,Analytica!$C105,'Vehicle data-proc2023'!$Q$20:$Q$111,RIGHT(Analytica!$D105,3))/1000</f>
        <v>379.44034929486759</v>
      </c>
      <c r="AQ105" s="809">
        <f>SUMIFS('Vehicle data-proc2023'!AJ$20:AJ$111,'Vehicle data-proc2023'!$N$20:$N$111,Analytica!$C105,'Vehicle data-proc2023'!$Q$20:$Q$111,RIGHT(Analytica!$D105,3))/1000</f>
        <v>387.39622422821134</v>
      </c>
      <c r="AR105" s="80"/>
      <c r="AT105" s="810">
        <f t="shared" si="73"/>
        <v>2.7E-2</v>
      </c>
      <c r="AU105" s="80">
        <f t="shared" si="74"/>
        <v>12.324590042616263</v>
      </c>
      <c r="AV105" s="80">
        <f t="shared" si="75"/>
        <v>12.00720927187009</v>
      </c>
      <c r="AW105" s="80">
        <f t="shared" si="76"/>
        <v>11.85465817130661</v>
      </c>
      <c r="AX105" s="80">
        <f t="shared" si="77"/>
        <v>10.244889430961425</v>
      </c>
      <c r="AY105" s="811">
        <f t="shared" si="78"/>
        <v>10.459698054161706</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06">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61">
        <f>S104*(1+$AJ$55)</f>
        <v>16.513999999999999</v>
      </c>
      <c r="T106" s="61">
        <f>T104*(1+$AJ$55)</f>
        <v>16.303049754293525</v>
      </c>
      <c r="U106" s="187">
        <f t="shared" si="85"/>
        <v>15.357071824068401</v>
      </c>
      <c r="V106" s="187">
        <f t="shared" si="85"/>
        <v>14.251411076224967</v>
      </c>
      <c r="W106" s="187">
        <f t="shared" si="85"/>
        <v>13.225354415887704</v>
      </c>
      <c r="X106" s="187">
        <f t="shared" si="85"/>
        <v>12.273170599761553</v>
      </c>
      <c r="Z106" s="808">
        <f t="shared" ref="Z106:Z114" si="86">(AA106/AB106)*AA106</f>
        <v>0.17525998848037599</v>
      </c>
      <c r="AA106" s="808">
        <f>1/SUMIFS('Vehicle data-proc2023'!AL$20:AL$111,'Vehicle data-proc2023'!$N$20:$N$111,Analytica!$C106,'Vehicle data-proc2023'!$Q$20:$Q$111,RIGHT(Analytica!$D106,3))</f>
        <v>0.17578682176098046</v>
      </c>
      <c r="AB106" s="808">
        <f>1/SUMIFS('Vehicle data-proc2023'!AM$20:AM$111,'Vehicle data-proc2023'!$N$20:$N$111,Analytica!$C106,'Vehicle data-proc2023'!$Q$20:$Q$111,RIGHT(Analytica!$D106,3))</f>
        <v>0.17631523870770266</v>
      </c>
      <c r="AC106" s="808">
        <f>1/SUMIFS('Vehicle data-proc2023'!AN$20:AN$111,'Vehicle data-proc2023'!$N$20:$N$111,Analytica!$C106,'Vehicle data-proc2023'!$Q$20:$Q$111,RIGHT(Analytica!$D106,3))</f>
        <v>0.1863124920525136</v>
      </c>
      <c r="AD106" s="808">
        <f>1/SUMIFS('Vehicle data-proc2023'!AO$20:AO$111,'Vehicle data-proc2023'!$N$20:$N$111,Analytica!$C106,'Vehicle data-proc2023'!$Q$20:$Q$111,RIGHT(Analytica!$D106,3))</f>
        <v>0.2060108191006548</v>
      </c>
      <c r="AE106" s="808">
        <f>1/SUMIFS('Vehicle data-proc2023'!AP$20:AP$111,'Vehicle data-proc2023'!$N$20:$N$111,Analytica!$C106,'Vehicle data-proc2023'!$Q$20:$Q$111,RIGHT(Analytica!$D106,3))</f>
        <v>0.22779179817186146</v>
      </c>
      <c r="AF106" s="808"/>
      <c r="AH106" s="80">
        <f>AH104*(1+$AR$57)</f>
        <v>68.298010000000005</v>
      </c>
      <c r="AI106" s="80">
        <f>AI104*(1+$AR$57)</f>
        <v>201.86901535918909</v>
      </c>
      <c r="AJ106" s="80"/>
      <c r="AK106" s="809">
        <f>SUMIFS('Vehicle data-proc2023'!AD$20:AD$111,'Vehicle data-proc2023'!$N$20:$N$111,Analytica!$C106,'Vehicle data-proc2023'!$Q$20:$Q$111,RIGHT(Analytica!$D106,3))/1000</f>
        <v>519.12041439989491</v>
      </c>
      <c r="AL106" s="809">
        <f>SUMIFS('Vehicle data-proc2023'!AE$20:AE$111,'Vehicle data-proc2023'!$N$20:$N$111,Analytica!$C106,'Vehicle data-proc2023'!$Q$20:$Q$111,RIGHT(Analytica!$D106,3))/1000</f>
        <v>545.62674611489456</v>
      </c>
      <c r="AM106" s="809">
        <f>SUMIFS('Vehicle data-proc2023'!AF$20:AF$111,'Vehicle data-proc2023'!$N$20:$N$111,Analytica!$C106,'Vehicle data-proc2023'!$Q$20:$Q$111,RIGHT(Analytica!$D106,3))/1000</f>
        <v>551.3701241175919</v>
      </c>
      <c r="AN106" s="809">
        <f>SUMIFS('Vehicle data-proc2023'!AG$20:AG$111,'Vehicle data-proc2023'!$N$20:$N$111,Analytica!$C106,'Vehicle data-proc2023'!$Q$20:$Q$111,RIGHT(Analytica!$D106,3))/1000</f>
        <v>557.11350212028935</v>
      </c>
      <c r="AO106" s="809">
        <f>SUMIFS('Vehicle data-proc2023'!AH$20:AH$111,'Vehicle data-proc2023'!$N$20:$N$111,Analytica!$C106,'Vehicle data-proc2023'!$Q$20:$Q$111,RIGHT(Analytica!$D106,3))/1000</f>
        <v>565.34503849646865</v>
      </c>
      <c r="AP106" s="809">
        <f>SUMIFS('Vehicle data-proc2023'!AI$20:AI$111,'Vehicle data-proc2023'!$N$20:$N$111,Analytica!$C106,'Vehicle data-proc2023'!$Q$20:$Q$111,RIGHT(Analytica!$D106,3))/1000</f>
        <v>573.57657487264794</v>
      </c>
      <c r="AQ106" s="809">
        <f>SUMIFS('Vehicle data-proc2023'!AJ$20:AJ$111,'Vehicle data-proc2023'!$N$20:$N$111,Analytica!$C106,'Vehicle data-proc2023'!$Q$20:$Q$111,RIGHT(Analytica!$D106,3))/1000</f>
        <v>580.79572210982678</v>
      </c>
      <c r="AR106" s="80"/>
      <c r="AT106" s="810">
        <f t="shared" si="73"/>
        <v>2.7E-2</v>
      </c>
      <c r="AU106" s="80">
        <f t="shared" si="74"/>
        <v>14.016251188797163</v>
      </c>
      <c r="AV106" s="80">
        <f t="shared" si="75"/>
        <v>14.731922145102153</v>
      </c>
      <c r="AW106" s="80">
        <f t="shared" si="76"/>
        <v>15.042064557247812</v>
      </c>
      <c r="AX106" s="80">
        <f t="shared" si="77"/>
        <v>15.486567521561494</v>
      </c>
      <c r="AY106" s="811">
        <f t="shared" si="78"/>
        <v>15.681484496965323</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06">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168">
        <v>23.5</v>
      </c>
      <c r="T107" s="61">
        <f>T106*(1+$AJ$55)</f>
        <v>18.748507217437552</v>
      </c>
      <c r="U107" s="187">
        <f t="shared" si="85"/>
        <v>17.66063259767866</v>
      </c>
      <c r="V107" s="187">
        <f t="shared" si="85"/>
        <v>16.38912273765871</v>
      </c>
      <c r="W107" s="187">
        <f t="shared" si="85"/>
        <v>15.209157578270858</v>
      </c>
      <c r="X107" s="187">
        <f t="shared" si="85"/>
        <v>14.114146189725783</v>
      </c>
      <c r="Z107" s="808">
        <f t="shared" si="86"/>
        <v>0.82174669541157208</v>
      </c>
      <c r="AA107" s="808">
        <f>1/SUMIFS('Vehicle data-proc2023'!AL$20:AL$111,'Vehicle data-proc2023'!$N$20:$N$111,Analytica!$C107,'Vehicle data-proc2023'!$Q$20:$Q$111,RIGHT(Analytica!$D107,3))</f>
        <v>0.82421687420778977</v>
      </c>
      <c r="AB107" s="808">
        <f>1/SUMIFS('Vehicle data-proc2023'!AM$20:AM$111,'Vehicle data-proc2023'!$N$20:$N$111,Analytica!$C107,'Vehicle data-proc2023'!$Q$20:$Q$111,RIGHT(Analytica!$D107,3))</f>
        <v>0.8266944783862078</v>
      </c>
      <c r="AC107" s="808">
        <f>1/SUMIFS('Vehicle data-proc2023'!AN$20:AN$111,'Vehicle data-proc2023'!$N$20:$N$111,Analytica!$C107,'Vehicle data-proc2023'!$Q$20:$Q$111,RIGHT(Analytica!$D107,3))</f>
        <v>0.87356889604720478</v>
      </c>
      <c r="AD107" s="808">
        <f>1/SUMIFS('Vehicle data-proc2023'!AO$20:AO$111,'Vehicle data-proc2023'!$N$20:$N$111,Analytica!$C107,'Vehicle data-proc2023'!$Q$20:$Q$111,RIGHT(Analytica!$D107,3))</f>
        <v>0.96592902511773071</v>
      </c>
      <c r="AE107" s="822">
        <f>1/SUMIFS('Vehicle data-proc2023'!AP$20:AP$111,'Vehicle data-proc2023'!$N$20:$N$111,Analytica!$C107,'Vehicle data-proc2023'!$Q$20:$Q$111,RIGHT(Analytica!$D107,3))</f>
        <v>1.068054146372071</v>
      </c>
      <c r="AF107" s="822"/>
      <c r="AG107" s="809"/>
      <c r="AH107" s="809">
        <f>AH106*(1+$AR$57)</f>
        <v>75.127811000000008</v>
      </c>
      <c r="AI107" s="809">
        <f>AI106*(1+$AR$57)</f>
        <v>222.05591689510803</v>
      </c>
      <c r="AJ107" s="809"/>
      <c r="AK107" s="809">
        <f>SUMIFS('Vehicle data-proc2023'!AD$20:AD$111,'Vehicle data-proc2023'!$N$20:$N$111,Analytica!$C107,'Vehicle data-proc2023'!$Q$20:$Q$111,RIGHT(Analytica!$D107,3))/1000</f>
        <v>1600.432933628904</v>
      </c>
      <c r="AL107" s="809">
        <f>SUMIFS('Vehicle data-proc2023'!AE$20:AE$111,'Vehicle data-proc2023'!$N$20:$N$111,Analytica!$C107,'Vehicle data-proc2023'!$Q$20:$Q$111,RIGHT(Analytica!$D107,3))/1000</f>
        <v>1094.5888281386417</v>
      </c>
      <c r="AM107" s="809">
        <f>SUMIFS('Vehicle data-proc2023'!AF$20:AF$111,'Vehicle data-proc2023'!$N$20:$N$111,Analytica!$C107,'Vehicle data-proc2023'!$Q$20:$Q$111,RIGHT(Analytica!$D107,3))/1000</f>
        <v>1007.0853648438302</v>
      </c>
      <c r="AN107" s="809">
        <f>SUMIFS('Vehicle data-proc2023'!AG$20:AG$111,'Vehicle data-proc2023'!$N$20:$N$111,Analytica!$C107,'Vehicle data-proc2023'!$Q$20:$Q$111,RIGHT(Analytica!$D107,3))/1000</f>
        <v>919.58190154901843</v>
      </c>
      <c r="AO107" s="809">
        <f>SUMIFS('Vehicle data-proc2023'!AH$20:AH$111,'Vehicle data-proc2023'!$N$20:$N$111,Analytica!$C107,'Vehicle data-proc2023'!$Q$20:$Q$111,RIGHT(Analytica!$D107,3))/1000</f>
        <v>928.70146574433534</v>
      </c>
      <c r="AP107" s="809">
        <f>SUMIFS('Vehicle data-proc2023'!AI$20:AI$111,'Vehicle data-proc2023'!$N$20:$N$111,Analytica!$C107,'Vehicle data-proc2023'!$Q$20:$Q$111,RIGHT(Analytica!$D107,3))/1000</f>
        <v>379.44034929486759</v>
      </c>
      <c r="AQ107" s="809">
        <f>SUMIFS('Vehicle data-proc2023'!AJ$20:AJ$111,'Vehicle data-proc2023'!$N$20:$N$111,Analytica!$C107,'Vehicle data-proc2023'!$Q$20:$Q$111,RIGHT(Analytica!$D107,3))/1000</f>
        <v>387.39622422821134</v>
      </c>
      <c r="AR107" s="80"/>
      <c r="AT107" s="810">
        <f t="shared" si="73"/>
        <v>2.0250000000000001E-2</v>
      </c>
      <c r="AU107" s="80">
        <f t="shared" si="74"/>
        <v>32.40876690598531</v>
      </c>
      <c r="AV107" s="80">
        <f t="shared" si="75"/>
        <v>22.165423769807497</v>
      </c>
      <c r="AW107" s="80">
        <f t="shared" si="76"/>
        <v>18.621533506367623</v>
      </c>
      <c r="AX107" s="80">
        <f t="shared" si="77"/>
        <v>7.683667073221069</v>
      </c>
      <c r="AY107" s="811">
        <f t="shared" si="78"/>
        <v>7.8447735406212802</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06">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61">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Z108" s="808">
        <f t="shared" si="86"/>
        <v>0.23340065991082923</v>
      </c>
      <c r="AA108" s="808">
        <f>1/SUMIFS('Vehicle data-proc2023'!AL$20:AL$111,'Vehicle data-proc2023'!$N$20:$N$111,Analytica!$C108,'Vehicle data-proc2023'!$Q$20:$Q$111,RIGHT(Analytica!$D108,3))</f>
        <v>0.23693697386285403</v>
      </c>
      <c r="AB108" s="808">
        <f>1/SUMIFS('Vehicle data-proc2023'!AM$20:AM$111,'Vehicle data-proc2023'!$N$20:$N$111,Analytica!$C108,'Vehicle data-proc2023'!$Q$20:$Q$111,RIGHT(Analytica!$D108,3))</f>
        <v>0.24052686742503102</v>
      </c>
      <c r="AC108" s="808">
        <f>1/SUMIFS('Vehicle data-proc2023'!AN$20:AN$111,'Vehicle data-proc2023'!$N$20:$N$111,Analytica!$C108,'Vehicle data-proc2023'!$Q$20:$Q$111,RIGHT(Analytica!$D108,3))</f>
        <v>0.25933339216798273</v>
      </c>
      <c r="AD108" s="808">
        <f>1/SUMIFS('Vehicle data-proc2023'!AO$20:AO$111,'Vehicle data-proc2023'!$N$20:$N$111,Analytica!$C108,'Vehicle data-proc2023'!$Q$20:$Q$111,RIGHT(Analytica!$D108,3))</f>
        <v>0.28675202586855569</v>
      </c>
      <c r="AE108" s="822">
        <f>1/SUMIFS('Vehicle data-proc2023'!AP$20:AP$111,'Vehicle data-proc2023'!$N$20:$N$111,Analytica!$C108,'Vehicle data-proc2023'!$Q$20:$Q$111,RIGHT(Analytica!$D108,3))</f>
        <v>0.31706955919682966</v>
      </c>
      <c r="AF108" s="822"/>
      <c r="AG108" s="809">
        <v>1</v>
      </c>
      <c r="AH108" s="809">
        <f>AH66/AH67*AH109</f>
        <v>487.93844290017597</v>
      </c>
      <c r="AI108" s="809">
        <f>AI66/AI67*AI109</f>
        <v>911.62921065175237</v>
      </c>
      <c r="AJ108" s="809"/>
      <c r="AK108" s="809">
        <f>SUMIFS('Vehicle data-proc2023'!AD$20:AD$111,'Vehicle data-proc2023'!$N$20:$N$111,Analytica!$C108,'Vehicle data-proc2023'!$Q$20:$Q$111,RIGHT(Analytica!$D108,3))/1000</f>
        <v>449.29991329948109</v>
      </c>
      <c r="AL108" s="809">
        <f>SUMIFS('Vehicle data-proc2023'!AE$20:AE$111,'Vehicle data-proc2023'!$N$20:$N$111,Analytica!$C108,'Vehicle data-proc2023'!$Q$20:$Q$111,RIGHT(Analytica!$D108,3))/1000</f>
        <v>496.02431464990411</v>
      </c>
      <c r="AM108" s="809">
        <f>SUMIFS('Vehicle data-proc2023'!AF$20:AF$111,'Vehicle data-proc2023'!$N$20:$N$111,Analytica!$C108,'Vehicle data-proc2023'!$Q$20:$Q$111,RIGHT(Analytica!$D108,3))/1000</f>
        <v>504.86263896951328</v>
      </c>
      <c r="AN108" s="809">
        <f>SUMIFS('Vehicle data-proc2023'!AG$20:AG$111,'Vehicle data-proc2023'!$N$20:$N$111,Analytica!$C108,'Vehicle data-proc2023'!$Q$20:$Q$111,RIGHT(Analytica!$D108,3))/1000</f>
        <v>363.56136717159279</v>
      </c>
      <c r="AO108" s="809">
        <f>SUMIFS('Vehicle data-proc2023'!AH$20:AH$111,'Vehicle data-proc2023'!$N$20:$N$111,Analytica!$C108,'Vehicle data-proc2023'!$Q$20:$Q$111,RIGHT(Analytica!$D108,3))/1000</f>
        <v>371.50085823323019</v>
      </c>
      <c r="AP108" s="809">
        <f>SUMIFS('Vehicle data-proc2023'!AI$20:AI$111,'Vehicle data-proc2023'!$N$20:$N$111,Analytica!$C108,'Vehicle data-proc2023'!$Q$20:$Q$111,RIGHT(Analytica!$D108,3))/1000</f>
        <v>379.44034929486759</v>
      </c>
      <c r="AQ108" s="809">
        <f>SUMIFS('Vehicle data-proc2023'!AJ$20:AJ$111,'Vehicle data-proc2023'!$N$20:$N$111,Analytica!$C108,'Vehicle data-proc2023'!$Q$20:$Q$111,RIGHT(Analytica!$D108,3))/1000</f>
        <v>387.39622422821134</v>
      </c>
      <c r="AR108" s="80"/>
      <c r="AT108" s="810">
        <f t="shared" si="73"/>
        <v>2.7E-2</v>
      </c>
      <c r="AU108" s="80">
        <f t="shared" si="74"/>
        <v>12.13109765908599</v>
      </c>
      <c r="AV108" s="80">
        <f t="shared" si="75"/>
        <v>13.392656495547412</v>
      </c>
      <c r="AW108" s="80">
        <f t="shared" si="76"/>
        <v>9.8161569136330051</v>
      </c>
      <c r="AX108" s="80">
        <f t="shared" si="77"/>
        <v>10.244889430961425</v>
      </c>
      <c r="AY108" s="811">
        <f t="shared" si="78"/>
        <v>10.459698054161706</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06">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61">
        <v>11.45</v>
      </c>
      <c r="T109" s="80">
        <f>W35</f>
        <v>11.0775109229247</v>
      </c>
      <c r="U109" s="187">
        <f t="shared" ref="U109:X111" si="87">T109/((1+U$57)^(U$58-T$58))</f>
        <v>9.8336296703072001</v>
      </c>
      <c r="V109" s="187">
        <f t="shared" si="87"/>
        <v>8.4733164557947447</v>
      </c>
      <c r="W109" s="187">
        <f t="shared" si="87"/>
        <v>7.3011791339706908</v>
      </c>
      <c r="X109" s="187">
        <f t="shared" si="87"/>
        <v>6.2911868126763029</v>
      </c>
      <c r="Z109" s="808">
        <f t="shared" si="86"/>
        <v>0.23340065991082923</v>
      </c>
      <c r="AA109" s="808">
        <f>1/SUMIFS('Vehicle data-proc2023'!AL$20:AL$111,'Vehicle data-proc2023'!$N$20:$N$111,Analytica!$C109,'Vehicle data-proc2023'!$Q$20:$Q$111,RIGHT(Analytica!$D109,3))</f>
        <v>0.23693697386285403</v>
      </c>
      <c r="AB109" s="808">
        <f>1/SUMIFS('Vehicle data-proc2023'!AM$20:AM$111,'Vehicle data-proc2023'!$N$20:$N$111,Analytica!$C109,'Vehicle data-proc2023'!$Q$20:$Q$111,RIGHT(Analytica!$D109,3))</f>
        <v>0.24052686742503102</v>
      </c>
      <c r="AC109" s="808">
        <f>1/SUMIFS('Vehicle data-proc2023'!AN$20:AN$111,'Vehicle data-proc2023'!$N$20:$N$111,Analytica!$C109,'Vehicle data-proc2023'!$Q$20:$Q$111,RIGHT(Analytica!$D109,3))</f>
        <v>0.25933339216798273</v>
      </c>
      <c r="AD109" s="808">
        <f>1/SUMIFS('Vehicle data-proc2023'!AO$20:AO$111,'Vehicle data-proc2023'!$N$20:$N$111,Analytica!$C109,'Vehicle data-proc2023'!$Q$20:$Q$111,RIGHT(Analytica!$D109,3))</f>
        <v>0.28675202586855569</v>
      </c>
      <c r="AE109" s="822">
        <f>1/SUMIFS('Vehicle data-proc2023'!AP$20:AP$111,'Vehicle data-proc2023'!$N$20:$N$111,Analytica!$C109,'Vehicle data-proc2023'!$Q$20:$Q$111,RIGHT(Analytica!$D109,3))</f>
        <v>0.31706955919682966</v>
      </c>
      <c r="AF109" s="822"/>
      <c r="AG109" s="809"/>
      <c r="AH109" s="809">
        <v>213.108</v>
      </c>
      <c r="AI109" s="809">
        <v>487.2057272727273</v>
      </c>
      <c r="AJ109" s="809"/>
      <c r="AK109" s="809">
        <f>SUMIFS('Vehicle data-proc2023'!AD$20:AD$111,'Vehicle data-proc2023'!$N$20:$N$111,Analytica!$C109,'Vehicle data-proc2023'!$Q$20:$Q$111,RIGHT(Analytica!$D109,3))/1000</f>
        <v>449.29991329948109</v>
      </c>
      <c r="AL109" s="809">
        <f>SUMIFS('Vehicle data-proc2023'!AE$20:AE$111,'Vehicle data-proc2023'!$N$20:$N$111,Analytica!$C109,'Vehicle data-proc2023'!$Q$20:$Q$111,RIGHT(Analytica!$D109,3))/1000</f>
        <v>496.02431464990411</v>
      </c>
      <c r="AM109" s="809">
        <f>SUMIFS('Vehicle data-proc2023'!AF$20:AF$111,'Vehicle data-proc2023'!$N$20:$N$111,Analytica!$C109,'Vehicle data-proc2023'!$Q$20:$Q$111,RIGHT(Analytica!$D109,3))/1000</f>
        <v>504.86263896951328</v>
      </c>
      <c r="AN109" s="809">
        <f>SUMIFS('Vehicle data-proc2023'!AG$20:AG$111,'Vehicle data-proc2023'!$N$20:$N$111,Analytica!$C109,'Vehicle data-proc2023'!$Q$20:$Q$111,RIGHT(Analytica!$D109,3))/1000</f>
        <v>363.56136717159279</v>
      </c>
      <c r="AO109" s="809">
        <f>SUMIFS('Vehicle data-proc2023'!AH$20:AH$111,'Vehicle data-proc2023'!$N$20:$N$111,Analytica!$C109,'Vehicle data-proc2023'!$Q$20:$Q$111,RIGHT(Analytica!$D109,3))/1000</f>
        <v>371.50085823323019</v>
      </c>
      <c r="AP109" s="809">
        <f>SUMIFS('Vehicle data-proc2023'!AI$20:AI$111,'Vehicle data-proc2023'!$N$20:$N$111,Analytica!$C109,'Vehicle data-proc2023'!$Q$20:$Q$111,RIGHT(Analytica!$D109,3))/1000</f>
        <v>379.44034929486759</v>
      </c>
      <c r="AQ109" s="809">
        <f>SUMIFS('Vehicle data-proc2023'!AJ$20:AJ$111,'Vehicle data-proc2023'!$N$20:$N$111,Analytica!$C109,'Vehicle data-proc2023'!$Q$20:$Q$111,RIGHT(Analytica!$D109,3))/1000</f>
        <v>387.39622422821134</v>
      </c>
      <c r="AR109" s="80"/>
      <c r="AT109" s="810">
        <f t="shared" si="73"/>
        <v>2.7E-2</v>
      </c>
      <c r="AU109" s="80">
        <f t="shared" si="74"/>
        <v>12.13109765908599</v>
      </c>
      <c r="AV109" s="80">
        <f t="shared" si="75"/>
        <v>13.392656495547412</v>
      </c>
      <c r="AW109" s="80">
        <f t="shared" si="76"/>
        <v>9.8161569136330051</v>
      </c>
      <c r="AX109" s="80">
        <f t="shared" si="77"/>
        <v>10.244889430961425</v>
      </c>
      <c r="AY109" s="811">
        <f t="shared" si="78"/>
        <v>10.459698054161706</v>
      </c>
      <c r="BA109" s="164">
        <f t="shared" si="49"/>
        <v>0.58515987307786188</v>
      </c>
    </row>
    <row r="110" spans="1:57" x14ac:dyDescent="0.25">
      <c r="A110" s="61" t="str">
        <f t="shared" si="65"/>
        <v>MBTOGS</v>
      </c>
      <c r="B110" s="61" t="str">
        <f>D110&amp;C110&amp;"-N"</f>
        <v>TPPUMBTOGS-N</v>
      </c>
      <c r="C110" s="61" t="s">
        <v>573</v>
      </c>
      <c r="D110" s="61" t="s">
        <v>523</v>
      </c>
      <c r="E110" s="61" t="s">
        <v>304</v>
      </c>
      <c r="F110" s="806">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61">
        <v>14.36</v>
      </c>
      <c r="T110" s="80">
        <f>W36</f>
        <v>14.5644836562465</v>
      </c>
      <c r="U110" s="187">
        <f t="shared" si="87"/>
        <v>12.929054154067694</v>
      </c>
      <c r="V110" s="187">
        <f t="shared" si="87"/>
        <v>11.140542301721721</v>
      </c>
      <c r="W110" s="187">
        <f t="shared" si="87"/>
        <v>9.5994402450084504</v>
      </c>
      <c r="X110" s="187">
        <f t="shared" si="87"/>
        <v>8.2715231019989606</v>
      </c>
      <c r="Z110" s="808">
        <f t="shared" si="86"/>
        <v>0.19776436705859718</v>
      </c>
      <c r="AA110" s="808">
        <f>1/SUMIFS('Vehicle data-proc2023'!AL$20:AL$111,'Vehicle data-proc2023'!$N$20:$N$111,Analytica!$C110,'Vehicle data-proc2023'!$Q$20:$Q$111,RIGHT(Analytica!$D110,3))</f>
        <v>0.20076074629210003</v>
      </c>
      <c r="AB110" s="808">
        <f>1/SUMIFS('Vehicle data-proc2023'!AM$20:AM$111,'Vehicle data-proc2023'!$N$20:$N$111,Analytica!$C110,'Vehicle data-proc2023'!$Q$20:$Q$111,RIGHT(Analytica!$D110,3))</f>
        <v>0.2038025244447535</v>
      </c>
      <c r="AC110" s="808">
        <f>1/SUMIFS('Vehicle data-proc2023'!AN$20:AN$111,'Vehicle data-proc2023'!$N$20:$N$111,Analytica!$C110,'Vehicle data-proc2023'!$Q$20:$Q$111,RIGHT(Analytica!$D110,3))</f>
        <v>0.21973761419035504</v>
      </c>
      <c r="AD110" s="808">
        <f>1/SUMIFS('Vehicle data-proc2023'!AO$20:AO$111,'Vehicle data-proc2023'!$N$20:$N$111,Analytica!$C110,'Vehicle data-proc2023'!$Q$20:$Q$111,RIGHT(Analytica!$D110,3))</f>
        <v>0.24296989100344107</v>
      </c>
      <c r="AE110" s="822">
        <f>1/SUMIFS('Vehicle data-proc2023'!AP$20:AP$111,'Vehicle data-proc2023'!$N$20:$N$111,Analytica!$C110,'Vehicle data-proc2023'!$Q$20:$Q$111,RIGHT(Analytica!$D110,3))</f>
        <v>0.26865845500208052</v>
      </c>
      <c r="AF110" s="822"/>
      <c r="AG110" s="809"/>
      <c r="AH110" s="809">
        <v>170.4864</v>
      </c>
      <c r="AI110" s="809">
        <v>433.22666666666669</v>
      </c>
      <c r="AJ110" s="809"/>
      <c r="AK110" s="809">
        <f>SUMIFS('Vehicle data-proc2023'!AD$20:AD$111,'Vehicle data-proc2023'!$N$20:$N$111,Analytica!$C110,'Vehicle data-proc2023'!$Q$20:$Q$111,RIGHT(Analytica!$D110,3))/1000</f>
        <v>322.55453757929689</v>
      </c>
      <c r="AL110" s="809">
        <f>SUMIFS('Vehicle data-proc2023'!AE$20:AE$111,'Vehicle data-proc2023'!$N$20:$N$111,Analytica!$C110,'Vehicle data-proc2023'!$Q$20:$Q$111,RIGHT(Analytica!$D110,3))/1000</f>
        <v>350.63787759734595</v>
      </c>
      <c r="AM110" s="809">
        <f>SUMIFS('Vehicle data-proc2023'!AF$20:AF$111,'Vehicle data-proc2023'!$N$20:$N$111,Analytica!$C110,'Vehicle data-proc2023'!$Q$20:$Q$111,RIGHT(Analytica!$D110,3))/1000</f>
        <v>357.09962238446946</v>
      </c>
      <c r="AN110" s="809">
        <f>SUMIFS('Vehicle data-proc2023'!AG$20:AG$111,'Vehicle data-proc2023'!$N$20:$N$111,Analytica!$C110,'Vehicle data-proc2023'!$Q$20:$Q$111,RIGHT(Analytica!$D110,3))/1000</f>
        <v>363.56136717159279</v>
      </c>
      <c r="AO110" s="809">
        <f>SUMIFS('Vehicle data-proc2023'!AH$20:AH$111,'Vehicle data-proc2023'!$N$20:$N$111,Analytica!$C110,'Vehicle data-proc2023'!$Q$20:$Q$111,RIGHT(Analytica!$D110,3))/1000</f>
        <v>371.50085823323019</v>
      </c>
      <c r="AP110" s="809">
        <f>SUMIFS('Vehicle data-proc2023'!AI$20:AI$111,'Vehicle data-proc2023'!$N$20:$N$111,Analytica!$C110,'Vehicle data-proc2023'!$Q$20:$Q$111,RIGHT(Analytica!$D110,3))/1000</f>
        <v>379.44034929486759</v>
      </c>
      <c r="AQ110" s="809">
        <f>SUMIFS('Vehicle data-proc2023'!AJ$20:AJ$111,'Vehicle data-proc2023'!$N$20:$N$111,Analytica!$C110,'Vehicle data-proc2023'!$Q$20:$Q$111,RIGHT(Analytica!$D110,3))/1000</f>
        <v>387.39622422821134</v>
      </c>
      <c r="AR110" s="80"/>
      <c r="AT110" s="810">
        <f t="shared" si="73"/>
        <v>2.7E-2</v>
      </c>
      <c r="AU110" s="80">
        <f t="shared" si="74"/>
        <v>8.7089725146410153</v>
      </c>
      <c r="AV110" s="80">
        <f t="shared" si="75"/>
        <v>9.4672226951283402</v>
      </c>
      <c r="AW110" s="80">
        <f t="shared" si="76"/>
        <v>9.8161569136330051</v>
      </c>
      <c r="AX110" s="80">
        <f t="shared" si="77"/>
        <v>10.244889430961425</v>
      </c>
      <c r="AY110" s="811">
        <f t="shared" si="78"/>
        <v>10.459698054161706</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06">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61">
        <f>S70/S67*S110</f>
        <v>14.661861861861862</v>
      </c>
      <c r="T111" s="61">
        <f>T70/T67*T110</f>
        <v>13.817957687727693</v>
      </c>
      <c r="U111" s="187">
        <f t="shared" si="87"/>
        <v>12.266354747607245</v>
      </c>
      <c r="V111" s="187">
        <f t="shared" si="87"/>
        <v>10.569515938693012</v>
      </c>
      <c r="W111" s="187">
        <f t="shared" si="87"/>
        <v>9.1074055395371154</v>
      </c>
      <c r="X111" s="187">
        <f t="shared" si="87"/>
        <v>7.8475529194242357</v>
      </c>
      <c r="Z111" s="808">
        <f t="shared" si="86"/>
        <v>0.16855105586597574</v>
      </c>
      <c r="AA111" s="808">
        <f>1/SUMIFS('Vehicle data-proc2023'!AL$20:AL$111,'Vehicle data-proc2023'!$N$20:$N$111,Analytica!$C111,'Vehicle data-proc2023'!$Q$20:$Q$111,RIGHT(Analytica!$D111,3))</f>
        <v>0.17110481664246663</v>
      </c>
      <c r="AB111" s="808">
        <f>1/SUMIFS('Vehicle data-proc2023'!AM$20:AM$111,'Vehicle data-proc2023'!$N$20:$N$111,Analytica!$C111,'Vehicle data-proc2023'!$Q$20:$Q$111,RIGHT(Analytica!$D111,3))</f>
        <v>0.17369727011103256</v>
      </c>
      <c r="AC111" s="808">
        <f>1/SUMIFS('Vehicle data-proc2023'!AN$20:AN$111,'Vehicle data-proc2023'!$N$20:$N$111,Analytica!$C111,'Vehicle data-proc2023'!$Q$20:$Q$111,RIGHT(Analytica!$D111,3))</f>
        <v>0.18727846394229747</v>
      </c>
      <c r="AD111" s="808">
        <f>1/SUMIFS('Vehicle data-proc2023'!AO$20:AO$111,'Vehicle data-proc2023'!$N$20:$N$111,Analytica!$C111,'Vehicle data-proc2023'!$Q$20:$Q$111,RIGHT(Analytica!$D111,3))</f>
        <v>0.20707892064366076</v>
      </c>
      <c r="AE111" s="822">
        <f>1/SUMIFS('Vehicle data-proc2023'!AP$20:AP$111,'Vehicle data-proc2023'!$N$20:$N$111,Analytica!$C111,'Vehicle data-proc2023'!$Q$20:$Q$111,RIGHT(Analytica!$D111,3))</f>
        <v>0.22897282726622464</v>
      </c>
      <c r="AF111" s="822"/>
      <c r="AG111" s="809"/>
      <c r="AH111" s="809">
        <f>AH110*(1+$AR$57)</f>
        <v>187.53504000000001</v>
      </c>
      <c r="AI111" s="809">
        <f>AI110*(1+$AR$57)</f>
        <v>476.54933333333338</v>
      </c>
      <c r="AJ111" s="809"/>
      <c r="AK111" s="809">
        <f>SUMIFS('Vehicle data-proc2023'!AD$20:AD$111,'Vehicle data-proc2023'!$N$20:$N$111,Analytica!$C111,'Vehicle data-proc2023'!$Q$20:$Q$111,RIGHT(Analytica!$D111,3))/1000</f>
        <v>519.12041439989491</v>
      </c>
      <c r="AL111" s="809">
        <f>SUMIFS('Vehicle data-proc2023'!AE$20:AE$111,'Vehicle data-proc2023'!$N$20:$N$111,Analytica!$C111,'Vehicle data-proc2023'!$Q$20:$Q$111,RIGHT(Analytica!$D111,3))/1000</f>
        <v>545.62674611489456</v>
      </c>
      <c r="AM111" s="809">
        <f>SUMIFS('Vehicle data-proc2023'!AF$20:AF$111,'Vehicle data-proc2023'!$N$20:$N$111,Analytica!$C111,'Vehicle data-proc2023'!$Q$20:$Q$111,RIGHT(Analytica!$D111,3))/1000</f>
        <v>551.3701241175919</v>
      </c>
      <c r="AN111" s="809">
        <f>SUMIFS('Vehicle data-proc2023'!AG$20:AG$111,'Vehicle data-proc2023'!$N$20:$N$111,Analytica!$C111,'Vehicle data-proc2023'!$Q$20:$Q$111,RIGHT(Analytica!$D111,3))/1000</f>
        <v>557.11350212028935</v>
      </c>
      <c r="AO111" s="809">
        <f>SUMIFS('Vehicle data-proc2023'!AH$20:AH$111,'Vehicle data-proc2023'!$N$20:$N$111,Analytica!$C111,'Vehicle data-proc2023'!$Q$20:$Q$111,RIGHT(Analytica!$D111,3))/1000</f>
        <v>565.34503849646865</v>
      </c>
      <c r="AP111" s="809">
        <f>SUMIFS('Vehicle data-proc2023'!AI$20:AI$111,'Vehicle data-proc2023'!$N$20:$N$111,Analytica!$C111,'Vehicle data-proc2023'!$Q$20:$Q$111,RIGHT(Analytica!$D111,3))/1000</f>
        <v>573.57657487264794</v>
      </c>
      <c r="AQ111" s="809">
        <f>SUMIFS('Vehicle data-proc2023'!AJ$20:AJ$111,'Vehicle data-proc2023'!$N$20:$N$111,Analytica!$C111,'Vehicle data-proc2023'!$Q$20:$Q$111,RIGHT(Analytica!$D111,3))/1000</f>
        <v>580.79572210982678</v>
      </c>
      <c r="AR111" s="80"/>
      <c r="AT111" s="810">
        <f t="shared" si="73"/>
        <v>2.7E-2</v>
      </c>
      <c r="AU111" s="80">
        <f t="shared" si="74"/>
        <v>14.016251188797163</v>
      </c>
      <c r="AV111" s="80">
        <f t="shared" si="75"/>
        <v>14.731922145102153</v>
      </c>
      <c r="AW111" s="80">
        <f t="shared" si="76"/>
        <v>15.042064557247812</v>
      </c>
      <c r="AX111" s="80">
        <f t="shared" si="77"/>
        <v>15.486567521561494</v>
      </c>
      <c r="AY111" s="811">
        <f t="shared" si="78"/>
        <v>15.681484496965323</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06">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Z112" s="808">
        <f t="shared" si="86"/>
        <v>0.40137480683209231</v>
      </c>
      <c r="AA112" s="808">
        <f>1/SUMIFS('Vehicle data-proc2023'!AL$20:AL$111,'Vehicle data-proc2023'!$N$20:$N$111,Analytica!$C112,'Vehicle data-proc2023'!$Q$20:$Q$111,RIGHT(Analytica!$D112,3))</f>
        <v>0.40745614066351282</v>
      </c>
      <c r="AB112" s="808">
        <f>1/SUMIFS('Vehicle data-proc2023'!AM$20:AM$111,'Vehicle data-proc2023'!$N$20:$N$111,Analytica!$C112,'Vehicle data-proc2023'!$Q$20:$Q$111,RIGHT(Analytica!$D112,3))</f>
        <v>0.41362961436156093</v>
      </c>
      <c r="AC112" s="808">
        <f>1/SUMIFS('Vehicle data-proc2023'!AN$20:AN$111,'Vehicle data-proc2023'!$N$20:$N$111,Analytica!$C112,'Vehicle data-proc2023'!$Q$20:$Q$111,RIGHT(Analytica!$D112,3))</f>
        <v>0.44597084783866037</v>
      </c>
      <c r="AD112" s="808">
        <f>1/SUMIFS('Vehicle data-proc2023'!AO$20:AO$111,'Vehicle data-proc2023'!$N$20:$N$111,Analytica!$C112,'Vehicle data-proc2023'!$Q$20:$Q$111,RIGHT(Analytica!$D112,3))</f>
        <v>0.49312216613129889</v>
      </c>
      <c r="AE112" s="822">
        <f>1/SUMIFS('Vehicle data-proc2023'!AP$20:AP$111,'Vehicle data-proc2023'!$N$20:$N$111,Analytica!$C112,'Vehicle data-proc2023'!$Q$20:$Q$111,RIGHT(Analytica!$D112,3))</f>
        <v>0.54525866860695826</v>
      </c>
      <c r="AF112" s="822"/>
      <c r="AG112" s="809"/>
      <c r="AH112" s="809"/>
      <c r="AI112" s="809"/>
      <c r="AJ112" s="809"/>
      <c r="AK112" s="809">
        <f>SUMIFS('Vehicle data-proc2023'!AD$20:AD$111,'Vehicle data-proc2023'!$N$20:$N$111,Analytica!$C112,'Vehicle data-proc2023'!$Q$20:$Q$111,RIGHT(Analytica!$D112,3))/1000</f>
        <v>4426.9422286890122</v>
      </c>
      <c r="AL112" s="809">
        <f>SUMIFS('Vehicle data-proc2023'!AE$20:AE$111,'Vehicle data-proc2023'!$N$20:$N$111,Analytica!$C112,'Vehicle data-proc2023'!$Q$20:$Q$111,RIGHT(Analytica!$D112,3))/1000</f>
        <v>1769.9627067509173</v>
      </c>
      <c r="AM112" s="809">
        <f>SUMIFS('Vehicle data-proc2023'!AF$20:AF$111,'Vehicle data-proc2023'!$N$20:$N$111,Analytica!$C112,'Vehicle data-proc2023'!$Q$20:$Q$111,RIGHT(Analytica!$D112,3))/1000</f>
        <v>1358.7481529305462</v>
      </c>
      <c r="AN112" s="809">
        <f>SUMIFS('Vehicle data-proc2023'!AG$20:AG$111,'Vehicle data-proc2023'!$N$20:$N$111,Analytica!$C112,'Vehicle data-proc2023'!$Q$20:$Q$111,RIGHT(Analytica!$D112,3))/1000</f>
        <v>947.53359911017537</v>
      </c>
      <c r="AO112" s="809">
        <f>SUMIFS('Vehicle data-proc2023'!AH$20:AH$111,'Vehicle data-proc2023'!$N$20:$N$111,Analytica!$C112,'Vehicle data-proc2023'!$Q$20:$Q$111,RIGHT(Analytica!$D112,3))/1000</f>
        <v>902.30995825479886</v>
      </c>
      <c r="AP112" s="809">
        <f>SUMIFS('Vehicle data-proc2023'!AI$20:AI$111,'Vehicle data-proc2023'!$N$20:$N$111,Analytica!$C112,'Vehicle data-proc2023'!$Q$20:$Q$111,RIGHT(Analytica!$D112,3))/1000</f>
        <v>857.08631739942234</v>
      </c>
      <c r="AQ112" s="809">
        <f>SUMIFS('Vehicle data-proc2023'!AJ$20:AJ$111,'Vehicle data-proc2023'!$N$20:$N$111,Analytica!$C112,'Vehicle data-proc2023'!$Q$20:$Q$111,RIGHT(Analytica!$D112,3))/1000</f>
        <v>387.39622422821134</v>
      </c>
      <c r="AR112" s="80"/>
      <c r="AT112" s="810">
        <f t="shared" si="73"/>
        <v>2.7E-2</v>
      </c>
      <c r="AU112" s="80">
        <f t="shared" si="74"/>
        <v>119.52744017460333</v>
      </c>
      <c r="AV112" s="80">
        <f t="shared" si="75"/>
        <v>47.788993082274764</v>
      </c>
      <c r="AW112" s="80">
        <f t="shared" si="76"/>
        <v>25.583407175974735</v>
      </c>
      <c r="AX112" s="80">
        <f t="shared" si="77"/>
        <v>23.141330569784405</v>
      </c>
      <c r="AY112" s="811">
        <f t="shared" si="78"/>
        <v>10.459698054161706</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06">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Z113" s="808">
        <f t="shared" si="86"/>
        <v>0.19776436705859718</v>
      </c>
      <c r="AA113" s="808">
        <f>1/SUMIFS('Vehicle data-proc2023'!AL$20:AL$111,'Vehicle data-proc2023'!$N$20:$N$111,Analytica!$C113,'Vehicle data-proc2023'!$Q$20:$Q$111,RIGHT(Analytica!$D113,3))</f>
        <v>0.20076074629210003</v>
      </c>
      <c r="AB113" s="808">
        <f>1/SUMIFS('Vehicle data-proc2023'!AM$20:AM$111,'Vehicle data-proc2023'!$N$20:$N$111,Analytica!$C113,'Vehicle data-proc2023'!$Q$20:$Q$111,RIGHT(Analytica!$D113,3))</f>
        <v>0.2038025244447535</v>
      </c>
      <c r="AC113" s="808">
        <f>1/SUMIFS('Vehicle data-proc2023'!AN$20:AN$111,'Vehicle data-proc2023'!$N$20:$N$111,Analytica!$C113,'Vehicle data-proc2023'!$Q$20:$Q$111,RIGHT(Analytica!$D113,3))</f>
        <v>0.21973761419035504</v>
      </c>
      <c r="AD113" s="808">
        <f>1/SUMIFS('Vehicle data-proc2023'!AO$20:AO$111,'Vehicle data-proc2023'!$N$20:$N$111,Analytica!$C113,'Vehicle data-proc2023'!$Q$20:$Q$111,RIGHT(Analytica!$D113,3))</f>
        <v>0.24296989100344107</v>
      </c>
      <c r="AE113" s="822">
        <f>1/SUMIFS('Vehicle data-proc2023'!AP$20:AP$111,'Vehicle data-proc2023'!$N$20:$N$111,Analytica!$C113,'Vehicle data-proc2023'!$Q$20:$Q$111,RIGHT(Analytica!$D113,3))</f>
        <v>0.26865845500208052</v>
      </c>
      <c r="AF113" s="822"/>
      <c r="AG113" s="809"/>
      <c r="AH113" s="809"/>
      <c r="AI113" s="809"/>
      <c r="AJ113" s="809"/>
      <c r="AK113" s="809">
        <f>SUMIFS('Vehicle data-proc2023'!AD$20:AD$111,'Vehicle data-proc2023'!$N$20:$N$111,Analytica!$C113,'Vehicle data-proc2023'!$Q$20:$Q$111,RIGHT(Analytica!$D113,3))/1000</f>
        <v>322.55453757929689</v>
      </c>
      <c r="AL113" s="809">
        <f>SUMIFS('Vehicle data-proc2023'!AE$20:AE$111,'Vehicle data-proc2023'!$N$20:$N$111,Analytica!$C113,'Vehicle data-proc2023'!$Q$20:$Q$111,RIGHT(Analytica!$D113,3))/1000</f>
        <v>350.63787759734595</v>
      </c>
      <c r="AM113" s="809">
        <f>SUMIFS('Vehicle data-proc2023'!AF$20:AF$111,'Vehicle data-proc2023'!$N$20:$N$111,Analytica!$C113,'Vehicle data-proc2023'!$Q$20:$Q$111,RIGHT(Analytica!$D113,3))/1000</f>
        <v>357.09962238446946</v>
      </c>
      <c r="AN113" s="809">
        <f>SUMIFS('Vehicle data-proc2023'!AG$20:AG$111,'Vehicle data-proc2023'!$N$20:$N$111,Analytica!$C113,'Vehicle data-proc2023'!$Q$20:$Q$111,RIGHT(Analytica!$D113,3))/1000</f>
        <v>363.56136717159279</v>
      </c>
      <c r="AO113" s="809">
        <f>SUMIFS('Vehicle data-proc2023'!AH$20:AH$111,'Vehicle data-proc2023'!$N$20:$N$111,Analytica!$C113,'Vehicle data-proc2023'!$Q$20:$Q$111,RIGHT(Analytica!$D113,3))/1000</f>
        <v>371.50085823323019</v>
      </c>
      <c r="AP113" s="809">
        <f>SUMIFS('Vehicle data-proc2023'!AI$20:AI$111,'Vehicle data-proc2023'!$N$20:$N$111,Analytica!$C113,'Vehicle data-proc2023'!$Q$20:$Q$111,RIGHT(Analytica!$D113,3))/1000</f>
        <v>379.44034929486759</v>
      </c>
      <c r="AQ113" s="809">
        <f>SUMIFS('Vehicle data-proc2023'!AJ$20:AJ$111,'Vehicle data-proc2023'!$N$20:$N$111,Analytica!$C113,'Vehicle data-proc2023'!$Q$20:$Q$111,RIGHT(Analytica!$D113,3))/1000</f>
        <v>387.39622422821134</v>
      </c>
      <c r="AR113" s="80"/>
      <c r="AT113" s="810">
        <f t="shared" si="73"/>
        <v>2.7E-2</v>
      </c>
      <c r="AU113" s="80">
        <f t="shared" si="74"/>
        <v>8.7089725146410153</v>
      </c>
      <c r="AV113" s="80">
        <f t="shared" si="75"/>
        <v>9.4672226951283402</v>
      </c>
      <c r="AW113" s="80">
        <f t="shared" si="76"/>
        <v>9.8161569136330051</v>
      </c>
      <c r="AX113" s="80">
        <f t="shared" si="77"/>
        <v>10.244889430961425</v>
      </c>
      <c r="AY113" s="811">
        <f t="shared" si="78"/>
        <v>10.459698054161706</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06">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168">
        <v>19.333899391304378</v>
      </c>
      <c r="T114" s="61">
        <f>S114</f>
        <v>19.333899391304378</v>
      </c>
      <c r="U114" s="187">
        <f t="shared" si="91"/>
        <v>17.162917556110038</v>
      </c>
      <c r="V114" s="187">
        <f t="shared" si="91"/>
        <v>14.788723658849419</v>
      </c>
      <c r="W114" s="187">
        <f t="shared" si="91"/>
        <v>12.742958575825156</v>
      </c>
      <c r="X114" s="187">
        <f t="shared" si="91"/>
        <v>10.980189839981735</v>
      </c>
      <c r="Z114" s="808">
        <f t="shared" si="86"/>
        <v>0.79029032448844172</v>
      </c>
      <c r="AA114" s="808">
        <f>1/SUMIFS('Vehicle data-proc2023'!AL$20:AL$111,'Vehicle data-proc2023'!$N$20:$N$111,Analytica!$C114,'Vehicle data-proc2023'!$Q$20:$Q$111,RIGHT(Analytica!$D114,3))</f>
        <v>0.80226421822852978</v>
      </c>
      <c r="AB114" s="808">
        <f>1/SUMIFS('Vehicle data-proc2023'!AM$20:AM$111,'Vehicle data-proc2023'!$N$20:$N$111,Analytica!$C114,'Vehicle data-proc2023'!$Q$20:$Q$111,RIGHT(Analytica!$D114,3))</f>
        <v>0.81441953153919366</v>
      </c>
      <c r="AC114" s="808">
        <f>1/SUMIFS('Vehicle data-proc2023'!AN$20:AN$111,'Vehicle data-proc2023'!$N$20:$N$111,Analytica!$C114,'Vehicle data-proc2023'!$Q$20:$Q$111,RIGHT(Analytica!$D114,3))</f>
        <v>0.87809807703810294</v>
      </c>
      <c r="AD114" s="808">
        <f>1/SUMIFS('Vehicle data-proc2023'!AO$20:AO$111,'Vehicle data-proc2023'!$N$20:$N$111,Analytica!$C114,'Vehicle data-proc2023'!$Q$20:$Q$111,RIGHT(Analytica!$D114,3))</f>
        <v>0.9709370644365708</v>
      </c>
      <c r="AE114" s="822">
        <f>1/SUMIFS('Vehicle data-proc2023'!AP$20:AP$111,'Vehicle data-proc2023'!$N$20:$N$111,Analytica!$C114,'Vehicle data-proc2023'!$Q$20:$Q$111,RIGHT(Analytica!$D114,3))</f>
        <v>1.07359167244344</v>
      </c>
      <c r="AF114" s="822"/>
      <c r="AG114" s="809"/>
      <c r="AH114" s="822"/>
      <c r="AI114" s="809"/>
      <c r="AJ114" s="809"/>
      <c r="AK114" s="809">
        <f>SUMIFS('Vehicle data-proc2023'!AD$20:AD$111,'Vehicle data-proc2023'!$N$20:$N$111,Analytica!$C114,'Vehicle data-proc2023'!$Q$20:$Q$111,RIGHT(Analytica!$D114,3))/1000</f>
        <v>1600.432933628904</v>
      </c>
      <c r="AL114" s="809">
        <f>SUMIFS('Vehicle data-proc2023'!AE$20:AE$111,'Vehicle data-proc2023'!$N$20:$N$111,Analytica!$C114,'Vehicle data-proc2023'!$Q$20:$Q$111,RIGHT(Analytica!$D114,3))/1000</f>
        <v>1094.5888281386417</v>
      </c>
      <c r="AM114" s="809">
        <f>SUMIFS('Vehicle data-proc2023'!AF$20:AF$111,'Vehicle data-proc2023'!$N$20:$N$111,Analytica!$C114,'Vehicle data-proc2023'!$Q$20:$Q$111,RIGHT(Analytica!$D114,3))/1000</f>
        <v>1007.0853648438302</v>
      </c>
      <c r="AN114" s="809">
        <f>SUMIFS('Vehicle data-proc2023'!AG$20:AG$111,'Vehicle data-proc2023'!$N$20:$N$111,Analytica!$C114,'Vehicle data-proc2023'!$Q$20:$Q$111,RIGHT(Analytica!$D114,3))/1000</f>
        <v>919.58190154901843</v>
      </c>
      <c r="AO114" s="809">
        <f>SUMIFS('Vehicle data-proc2023'!AH$20:AH$111,'Vehicle data-proc2023'!$N$20:$N$111,Analytica!$C114,'Vehicle data-proc2023'!$Q$20:$Q$111,RIGHT(Analytica!$D114,3))/1000</f>
        <v>371.50085823323019</v>
      </c>
      <c r="AP114" s="809">
        <f>SUMIFS('Vehicle data-proc2023'!AI$20:AI$111,'Vehicle data-proc2023'!$N$20:$N$111,Analytica!$C114,'Vehicle data-proc2023'!$Q$20:$Q$111,RIGHT(Analytica!$D114,3))/1000</f>
        <v>379.44034929486759</v>
      </c>
      <c r="AQ114" s="809">
        <f>SUMIFS('Vehicle data-proc2023'!AJ$20:AJ$111,'Vehicle data-proc2023'!$N$20:$N$111,Analytica!$C114,'Vehicle data-proc2023'!$Q$20:$Q$111,RIGHT(Analytica!$D114,3))/1000</f>
        <v>387.39622422821134</v>
      </c>
      <c r="AR114" s="80"/>
      <c r="AT114" s="810">
        <f t="shared" si="73"/>
        <v>2.0250000000000001E-2</v>
      </c>
      <c r="AU114" s="80">
        <f t="shared" si="74"/>
        <v>32.40876690598531</v>
      </c>
      <c r="AV114" s="80">
        <f t="shared" si="75"/>
        <v>22.165423769807497</v>
      </c>
      <c r="AW114" s="80">
        <f t="shared" si="76"/>
        <v>18.621533506367623</v>
      </c>
      <c r="AX114" s="80">
        <f t="shared" si="77"/>
        <v>7.683667073221069</v>
      </c>
      <c r="AY114" s="811">
        <f t="shared" si="78"/>
        <v>7.8447735406212802</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06">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61">
        <f>S116/1.3</f>
        <v>9.2051282051282044</v>
      </c>
      <c r="T115" s="61">
        <f>T116/1.3</f>
        <v>8.6630075528088462</v>
      </c>
      <c r="U115" s="187">
        <f t="shared" si="91"/>
        <v>7.6902481702003831</v>
      </c>
      <c r="V115" s="187">
        <f t="shared" si="91"/>
        <v>6.6264348520731602</v>
      </c>
      <c r="W115" s="187">
        <f t="shared" si="91"/>
        <v>5.7097817751732842</v>
      </c>
      <c r="X115" s="187">
        <f t="shared" si="91"/>
        <v>4.9199318559513454</v>
      </c>
      <c r="Z115" s="808">
        <f>Z64/Z65 *Z116</f>
        <v>0.29845274217055912</v>
      </c>
      <c r="AA115" s="808">
        <f>1/SUMIFS('Vehicle data-proc2023'!AL$20:AL$111,'Vehicle data-proc2023'!$N$20:$N$111,Analytica!$C115,'Vehicle data-proc2023'!$Q$20:$Q$111,RIGHT(Analytica!$D115,3))</f>
        <v>0.50166252636530251</v>
      </c>
      <c r="AB115" s="808">
        <f>1/SUMIFS('Vehicle data-proc2023'!AM$20:AM$111,'Vehicle data-proc2023'!$N$20:$N$111,Analytica!$C115,'Vehicle data-proc2023'!$Q$20:$Q$111,RIGHT(Analytica!$D115,3))</f>
        <v>0.50926334545412344</v>
      </c>
      <c r="AC115" s="808">
        <f>1/SUMIFS('Vehicle data-proc2023'!AN$20:AN$111,'Vehicle data-proc2023'!$N$20:$N$111,Analytica!$C115,'Vehicle data-proc2023'!$Q$20:$Q$111,RIGHT(Analytica!$D115,3))</f>
        <v>0.54908207260711606</v>
      </c>
      <c r="AD115" s="808">
        <f>1/SUMIFS('Vehicle data-proc2023'!AO$20:AO$111,'Vehicle data-proc2023'!$N$20:$N$111,Analytica!$C115,'Vehicle data-proc2023'!$Q$20:$Q$111,RIGHT(Analytica!$D115,3))</f>
        <v>0.60713506799852335</v>
      </c>
      <c r="AE115" s="808">
        <f>1/SUMIFS('Vehicle data-proc2023'!AP$20:AP$111,'Vehicle data-proc2023'!$N$20:$N$111,Analytica!$C115,'Vehicle data-proc2023'!$Q$20:$Q$111,RIGHT(Analytica!$D115,3))</f>
        <v>0.67132585306117754</v>
      </c>
      <c r="AF115" s="808"/>
      <c r="AG115" s="809">
        <v>1</v>
      </c>
      <c r="AH115" s="809">
        <f>AH64/AH65*AH116</f>
        <v>783.91454624056792</v>
      </c>
      <c r="AI115" s="809">
        <f>AI64/AI65*AI116</f>
        <v>0</v>
      </c>
      <c r="AJ115" s="809"/>
      <c r="AK115" s="809">
        <f>SUMIFS('Vehicle data-proc2023'!AD$20:AD$111,'Vehicle data-proc2023'!$N$20:$N$111,Analytica!$C115,'Vehicle data-proc2023'!$Q$20:$Q$111,RIGHT(Analytica!$D115,3))/1000</f>
        <v>675.8697411149459</v>
      </c>
      <c r="AL115" s="809">
        <f>SUMIFS('Vehicle data-proc2023'!AE$20:AE$111,'Vehicle data-proc2023'!$N$20:$N$111,Analytica!$C115,'Vehicle data-proc2023'!$Q$20:$Q$111,RIGHT(Analytica!$D115,3))/1000</f>
        <v>667.06718177056041</v>
      </c>
      <c r="AM115" s="809">
        <f>SUMIFS('Vehicle data-proc2023'!AF$20:AF$111,'Vehicle data-proc2023'!$N$20:$N$111,Analytica!$C115,'Vehicle data-proc2023'!$Q$20:$Q$111,RIGHT(Analytica!$D115,3))/1000</f>
        <v>662.58461022237543</v>
      </c>
      <c r="AN115" s="809">
        <f>SUMIFS('Vehicle data-proc2023'!AG$20:AG$111,'Vehicle data-proc2023'!$N$20:$N$111,Analytica!$C115,'Vehicle data-proc2023'!$Q$20:$Q$111,RIGHT(Analytica!$D115,3))/1000</f>
        <v>658.10203867419057</v>
      </c>
      <c r="AO115" s="809">
        <f>SUMIFS('Vehicle data-proc2023'!AH$20:AH$111,'Vehicle data-proc2023'!$N$20:$N$111,Analytica!$C115,'Vehicle data-proc2023'!$Q$20:$Q$111,RIGHT(Analytica!$D115,3))/1000</f>
        <v>371.50085823323019</v>
      </c>
      <c r="AP115" s="809">
        <f>SUMIFS('Vehicle data-proc2023'!AI$20:AI$111,'Vehicle data-proc2023'!$N$20:$N$111,Analytica!$C115,'Vehicle data-proc2023'!$Q$20:$Q$111,RIGHT(Analytica!$D115,3))/1000</f>
        <v>379.44034929486759</v>
      </c>
      <c r="AQ115" s="809">
        <f>SUMIFS('Vehicle data-proc2023'!AJ$20:AJ$111,'Vehicle data-proc2023'!$N$20:$N$111,Analytica!$C115,'Vehicle data-proc2023'!$Q$20:$Q$111,RIGHT(Analytica!$D115,3))/1000</f>
        <v>387.39622422821134</v>
      </c>
      <c r="AR115" s="80"/>
      <c r="AT115" s="810">
        <f t="shared" si="73"/>
        <v>2.7E-2</v>
      </c>
      <c r="AU115" s="80">
        <f t="shared" si="74"/>
        <v>18.248483010103538</v>
      </c>
      <c r="AV115" s="80">
        <f t="shared" si="75"/>
        <v>18.010813907805129</v>
      </c>
      <c r="AW115" s="80">
        <f t="shared" si="76"/>
        <v>17.768755044203147</v>
      </c>
      <c r="AX115" s="80">
        <f t="shared" si="77"/>
        <v>10.244889430961425</v>
      </c>
      <c r="AY115" s="811">
        <f t="shared" si="78"/>
        <v>10.459698054161706</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06">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61">
        <f>S118/1.2</f>
        <v>11.966666666666667</v>
      </c>
      <c r="T116" s="80">
        <f>W37</f>
        <v>11.2619098186515</v>
      </c>
      <c r="U116" s="187">
        <f t="shared" si="91"/>
        <v>9.9973226212604978</v>
      </c>
      <c r="V116" s="187">
        <f t="shared" si="91"/>
        <v>8.6143653076951079</v>
      </c>
      <c r="W116" s="187">
        <f t="shared" si="91"/>
        <v>7.4227163077252687</v>
      </c>
      <c r="X116" s="187">
        <f t="shared" si="91"/>
        <v>6.3959114127367478</v>
      </c>
      <c r="Z116" s="808">
        <f>(AA116/AB116)*AA116</f>
        <v>0.22957903243889161</v>
      </c>
      <c r="AA116" s="808">
        <f>1/SUMIFS('Vehicle data-proc2023'!AL$20:AL$111,'Vehicle data-proc2023'!$N$20:$N$111,Analytica!$C116,'Vehicle data-proc2023'!$Q$20:$Q$111,RIGHT(Analytica!$D116,3))</f>
        <v>0.23305744392160199</v>
      </c>
      <c r="AB116" s="808">
        <f>1/SUMIFS('Vehicle data-proc2023'!AM$20:AM$111,'Vehicle data-proc2023'!$N$20:$N$111,Analytica!$C116,'Vehicle data-proc2023'!$Q$20:$Q$111,RIGHT(Analytica!$D116,3))</f>
        <v>0.23658855771912971</v>
      </c>
      <c r="AC116" s="808">
        <f>1/SUMIFS('Vehicle data-proc2023'!AN$20:AN$111,'Vehicle data-proc2023'!$N$20:$N$111,Analytica!$C116,'Vehicle data-proc2023'!$Q$20:$Q$111,RIGHT(Analytica!$D116,3))</f>
        <v>0.25508715046378805</v>
      </c>
      <c r="AD116" s="808">
        <f>1/SUMIFS('Vehicle data-proc2023'!AO$20:AO$111,'Vehicle data-proc2023'!$N$20:$N$111,Analytica!$C116,'Vehicle data-proc2023'!$Q$20:$Q$111,RIGHT(Analytica!$D116,3))</f>
        <v>0.28205684025891897</v>
      </c>
      <c r="AE116" s="822">
        <f>1/SUMIFS('Vehicle data-proc2023'!AP$20:AP$111,'Vehicle data-proc2023'!$N$20:$N$111,Analytica!$C116,'Vehicle data-proc2023'!$Q$20:$Q$111,RIGHT(Analytica!$D116,3))</f>
        <v>0.31187796402994067</v>
      </c>
      <c r="AF116" s="822"/>
      <c r="AG116" s="809"/>
      <c r="AH116" s="809">
        <v>342.37610000000001</v>
      </c>
      <c r="AI116" s="809">
        <v>578.12285436396212</v>
      </c>
      <c r="AJ116" s="809"/>
      <c r="AK116" s="809">
        <f>SUMIFS('Vehicle data-proc2023'!AD$20:AD$111,'Vehicle data-proc2023'!$N$20:$N$111,Analytica!$C116,'Vehicle data-proc2023'!$Q$20:$Q$111,RIGHT(Analytica!$D116,3))/1000</f>
        <v>449.29991329948109</v>
      </c>
      <c r="AL116" s="809">
        <f>SUMIFS('Vehicle data-proc2023'!AE$20:AE$111,'Vehicle data-proc2023'!$N$20:$N$111,Analytica!$C116,'Vehicle data-proc2023'!$Q$20:$Q$111,RIGHT(Analytica!$D116,3))/1000</f>
        <v>496.02431464990411</v>
      </c>
      <c r="AM116" s="809">
        <f>SUMIFS('Vehicle data-proc2023'!AF$20:AF$111,'Vehicle data-proc2023'!$N$20:$N$111,Analytica!$C116,'Vehicle data-proc2023'!$Q$20:$Q$111,RIGHT(Analytica!$D116,3))/1000</f>
        <v>504.86263896951328</v>
      </c>
      <c r="AN116" s="809">
        <f>SUMIFS('Vehicle data-proc2023'!AG$20:AG$111,'Vehicle data-proc2023'!$N$20:$N$111,Analytica!$C116,'Vehicle data-proc2023'!$Q$20:$Q$111,RIGHT(Analytica!$D116,3))/1000</f>
        <v>363.56136717159279</v>
      </c>
      <c r="AO116" s="809">
        <f>SUMIFS('Vehicle data-proc2023'!AH$20:AH$111,'Vehicle data-proc2023'!$N$20:$N$111,Analytica!$C116,'Vehicle data-proc2023'!$Q$20:$Q$111,RIGHT(Analytica!$D116,3))/1000</f>
        <v>371.50085823323019</v>
      </c>
      <c r="AP116" s="809">
        <f>SUMIFS('Vehicle data-proc2023'!AI$20:AI$111,'Vehicle data-proc2023'!$N$20:$N$111,Analytica!$C116,'Vehicle data-proc2023'!$Q$20:$Q$111,RIGHT(Analytica!$D116,3))/1000</f>
        <v>379.44034929486759</v>
      </c>
      <c r="AQ116" s="809">
        <f>SUMIFS('Vehicle data-proc2023'!AJ$20:AJ$111,'Vehicle data-proc2023'!$N$20:$N$111,Analytica!$C116,'Vehicle data-proc2023'!$Q$20:$Q$111,RIGHT(Analytica!$D116,3))/1000</f>
        <v>387.39622422821134</v>
      </c>
      <c r="AR116" s="80"/>
      <c r="AT116" s="810">
        <f t="shared" si="73"/>
        <v>2.7E-2</v>
      </c>
      <c r="AU116" s="80">
        <f t="shared" si="74"/>
        <v>12.13109765908599</v>
      </c>
      <c r="AV116" s="80">
        <f t="shared" si="75"/>
        <v>13.392656495547412</v>
      </c>
      <c r="AW116" s="80">
        <f t="shared" si="76"/>
        <v>9.8161569136330051</v>
      </c>
      <c r="AX116" s="80">
        <f t="shared" si="77"/>
        <v>10.244889430961425</v>
      </c>
      <c r="AY116" s="811">
        <f t="shared" si="78"/>
        <v>10.459698054161706</v>
      </c>
      <c r="BA116" s="164">
        <f t="shared" si="92"/>
        <v>0.46134144546391248</v>
      </c>
    </row>
    <row r="117" spans="1:57" x14ac:dyDescent="0.25">
      <c r="A117" s="61" t="str">
        <f t="shared" si="65"/>
        <v>SUVOGSH</v>
      </c>
      <c r="B117" s="61" t="str">
        <f t="shared" si="90"/>
        <v>TPPRSUVOGSH-N</v>
      </c>
      <c r="C117" s="61" t="s">
        <v>519</v>
      </c>
      <c r="D117" s="61" t="s">
        <v>516</v>
      </c>
      <c r="E117" s="61" t="s">
        <v>298</v>
      </c>
      <c r="F117" s="806">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61">
        <f>S118/1.3</f>
        <v>11.046153846153846</v>
      </c>
      <c r="T117" s="61">
        <f>W38</f>
        <v>6.8382247609900997</v>
      </c>
      <c r="U117" s="187">
        <f t="shared" si="91"/>
        <v>6.0703681873822601</v>
      </c>
      <c r="V117" s="187">
        <f t="shared" si="91"/>
        <v>5.230637351556088</v>
      </c>
      <c r="W117" s="187">
        <f t="shared" si="91"/>
        <v>4.507068806857994</v>
      </c>
      <c r="X117" s="187">
        <f t="shared" si="91"/>
        <v>3.8835935019867374</v>
      </c>
      <c r="Z117" s="808">
        <f>Z66/Z67 *Z118</f>
        <v>0.53073323251120075</v>
      </c>
      <c r="AA117" s="808">
        <f>1/SUMIFS('Vehicle data-proc2023'!AL$20:AL$111,'Vehicle data-proc2023'!$N$20:$N$111,Analytica!$C117,'Vehicle data-proc2023'!$Q$20:$Q$111,RIGHT(Analytica!$D117,3))</f>
        <v>0.55960679052148743</v>
      </c>
      <c r="AB117" s="808">
        <f>1/SUMIFS('Vehicle data-proc2023'!AM$20:AM$111,'Vehicle data-proc2023'!$N$20:$N$111,Analytica!$C117,'Vehicle data-proc2023'!$Q$20:$Q$111,RIGHT(Analytica!$D117,3))</f>
        <v>0.56808553818966034</v>
      </c>
      <c r="AC117" s="808">
        <f>1/SUMIFS('Vehicle data-proc2023'!AN$20:AN$111,'Vehicle data-proc2023'!$N$20:$N$111,Analytica!$C117,'Vehicle data-proc2023'!$Q$20:$Q$111,RIGHT(Analytica!$D117,3))</f>
        <v>0.61250350631293804</v>
      </c>
      <c r="AD117" s="808">
        <f>1/SUMIFS('Vehicle data-proc2023'!AO$20:AO$111,'Vehicle data-proc2023'!$N$20:$N$111,Analytica!$C117,'Vehicle data-proc2023'!$Q$20:$Q$111,RIGHT(Analytica!$D117,3))</f>
        <v>0.67726188216078398</v>
      </c>
      <c r="AE117" s="808">
        <f>1/SUMIFS('Vehicle data-proc2023'!AP$20:AP$111,'Vehicle data-proc2023'!$N$20:$N$111,Analytica!$C117,'Vehicle data-proc2023'!$Q$20:$Q$111,RIGHT(Analytica!$D117,3))</f>
        <v>0.74886698982196298</v>
      </c>
      <c r="AF117" s="808"/>
      <c r="AG117" s="809">
        <v>1</v>
      </c>
      <c r="AH117" s="809">
        <f>AH115/AH116*AH118</f>
        <v>756.34808946285307</v>
      </c>
      <c r="AI117" s="809">
        <v>869.57249999999999</v>
      </c>
      <c r="AJ117" s="809"/>
      <c r="AK117" s="809">
        <f>SUMIFS('Vehicle data-proc2023'!AD$20:AD$111,'Vehicle data-proc2023'!$N$20:$N$111,Analytica!$C117,'Vehicle data-proc2023'!$Q$20:$Q$111,RIGHT(Analytica!$D117,3))/1000</f>
        <v>456.4662978746764</v>
      </c>
      <c r="AL117" s="809">
        <f>SUMIFS('Vehicle data-proc2023'!AE$20:AE$111,'Vehicle data-proc2023'!$N$20:$N$111,Analytica!$C117,'Vehicle data-proc2023'!$Q$20:$Q$111,RIGHT(Analytica!$D117,3))/1000</f>
        <v>444.71145451370705</v>
      </c>
      <c r="AM117" s="809">
        <f>SUMIFS('Vehicle data-proc2023'!AF$20:AF$111,'Vehicle data-proc2023'!$N$20:$N$111,Analytica!$C117,'Vehicle data-proc2023'!$Q$20:$Q$111,RIGHT(Analytica!$D117,3))/1000</f>
        <v>441.88643413290185</v>
      </c>
      <c r="AN117" s="809">
        <f>SUMIFS('Vehicle data-proc2023'!AG$20:AG$111,'Vehicle data-proc2023'!$N$20:$N$111,Analytica!$C117,'Vehicle data-proc2023'!$Q$20:$Q$111,RIGHT(Analytica!$D117,3))/1000</f>
        <v>439.06141375209666</v>
      </c>
      <c r="AO117" s="809">
        <f>SUMIFS('Vehicle data-proc2023'!AH$20:AH$111,'Vehicle data-proc2023'!$N$20:$N$111,Analytica!$C117,'Vehicle data-proc2023'!$Q$20:$Q$111,RIGHT(Analytica!$D117,3))/1000</f>
        <v>371.50085823323019</v>
      </c>
      <c r="AP117" s="809">
        <f>SUMIFS('Vehicle data-proc2023'!AI$20:AI$111,'Vehicle data-proc2023'!$N$20:$N$111,Analytica!$C117,'Vehicle data-proc2023'!$Q$20:$Q$111,RIGHT(Analytica!$D117,3))/1000</f>
        <v>379.44034929486759</v>
      </c>
      <c r="AQ117" s="809">
        <f>SUMIFS('Vehicle data-proc2023'!AJ$20:AJ$111,'Vehicle data-proc2023'!$N$20:$N$111,Analytica!$C117,'Vehicle data-proc2023'!$Q$20:$Q$111,RIGHT(Analytica!$D117,3))/1000</f>
        <v>387.39622422821134</v>
      </c>
      <c r="AR117" s="80"/>
      <c r="AT117" s="810">
        <f t="shared" si="73"/>
        <v>2.7E-2</v>
      </c>
      <c r="AU117" s="80">
        <f t="shared" si="74"/>
        <v>12.324590042616263</v>
      </c>
      <c r="AV117" s="80">
        <f t="shared" si="75"/>
        <v>12.00720927187009</v>
      </c>
      <c r="AW117" s="80">
        <f t="shared" si="76"/>
        <v>11.85465817130661</v>
      </c>
      <c r="AX117" s="80">
        <f t="shared" si="77"/>
        <v>10.244889430961425</v>
      </c>
      <c r="AY117" s="811">
        <f t="shared" si="78"/>
        <v>10.459698054161706</v>
      </c>
      <c r="BA117" s="164">
        <f t="shared" si="92"/>
        <v>7.1635346646386339E-4</v>
      </c>
    </row>
    <row r="118" spans="1:57" x14ac:dyDescent="0.25">
      <c r="A118" s="61" t="str">
        <f t="shared" si="65"/>
        <v>SUVOGS</v>
      </c>
      <c r="B118" s="61" t="str">
        <f t="shared" si="90"/>
        <v>TPPRSUVOGS-N</v>
      </c>
      <c r="C118" s="61" t="s">
        <v>573</v>
      </c>
      <c r="D118" s="61" t="s">
        <v>516</v>
      </c>
      <c r="E118" s="61" t="s">
        <v>295</v>
      </c>
      <c r="F118" s="806">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61">
        <v>14.36</v>
      </c>
      <c r="T118" s="187">
        <f>W39</f>
        <v>13.551554667779801</v>
      </c>
      <c r="U118" s="187">
        <f t="shared" si="91"/>
        <v>12.029865823385324</v>
      </c>
      <c r="V118" s="187">
        <f t="shared" si="91"/>
        <v>10.365741182025751</v>
      </c>
      <c r="W118" s="187">
        <f t="shared" si="91"/>
        <v>8.9318195090647752</v>
      </c>
      <c r="X118" s="187">
        <f t="shared" si="91"/>
        <v>7.6962561906180467</v>
      </c>
      <c r="Z118" s="808">
        <f t="shared" ref="Z118:Z129" si="93">(AA118/AB118)*AA118</f>
        <v>0.42121105878886406</v>
      </c>
      <c r="AA118" s="808">
        <f>1/SUMIFS('Vehicle data-proc2023'!AL$20:AL$111,'Vehicle data-proc2023'!$N$20:$N$111,Analytica!$C118,'Vehicle data-proc2023'!$Q$20:$Q$111,RIGHT(Analytica!$D118,3))</f>
        <v>0.42759293682001998</v>
      </c>
      <c r="AB118" s="808">
        <f>1/SUMIFS('Vehicle data-proc2023'!AM$20:AM$111,'Vehicle data-proc2023'!$N$20:$N$111,Analytica!$C118,'Vehicle data-proc2023'!$Q$20:$Q$111,RIGHT(Analytica!$D118,3))</f>
        <v>0.43407150834094715</v>
      </c>
      <c r="AC118" s="808">
        <f>1/SUMIFS('Vehicle data-proc2023'!AN$20:AN$111,'Vehicle data-proc2023'!$N$20:$N$111,Analytica!$C118,'Vehicle data-proc2023'!$Q$20:$Q$111,RIGHT(Analytica!$D118,3))</f>
        <v>0.46801107047476492</v>
      </c>
      <c r="AD118" s="808">
        <f>1/SUMIFS('Vehicle data-proc2023'!AO$20:AO$111,'Vehicle data-proc2023'!$N$20:$N$111,Analytica!$C118,'Vehicle data-proc2023'!$Q$20:$Q$111,RIGHT(Analytica!$D118,3))</f>
        <v>0.51749264321742416</v>
      </c>
      <c r="AE118" s="822">
        <f>1/SUMIFS('Vehicle data-proc2023'!AP$20:AP$111,'Vehicle data-proc2023'!$N$20:$N$111,Analytica!$C118,'Vehicle data-proc2023'!$Q$20:$Q$111,RIGHT(Analytica!$D118,3))</f>
        <v>0.57220577178333198</v>
      </c>
      <c r="AF118" s="822"/>
      <c r="AG118" s="809"/>
      <c r="AH118" s="809">
        <v>330.33640000000003</v>
      </c>
      <c r="AI118" s="809">
        <v>528.97889091362958</v>
      </c>
      <c r="AJ118" s="809"/>
      <c r="AK118" s="809">
        <f>SUMIFS('Vehicle data-proc2023'!AD$20:AD$111,'Vehicle data-proc2023'!$N$20:$N$111,Analytica!$C118,'Vehicle data-proc2023'!$Q$20:$Q$111,RIGHT(Analytica!$D118,3))/1000</f>
        <v>322.55453757929689</v>
      </c>
      <c r="AL118" s="809">
        <f>SUMIFS('Vehicle data-proc2023'!AE$20:AE$111,'Vehicle data-proc2023'!$N$20:$N$111,Analytica!$C118,'Vehicle data-proc2023'!$Q$20:$Q$111,RIGHT(Analytica!$D118,3))/1000</f>
        <v>350.63787759734595</v>
      </c>
      <c r="AM118" s="809">
        <f>SUMIFS('Vehicle data-proc2023'!AF$20:AF$111,'Vehicle data-proc2023'!$N$20:$N$111,Analytica!$C118,'Vehicle data-proc2023'!$Q$20:$Q$111,RIGHT(Analytica!$D118,3))/1000</f>
        <v>357.09962238446946</v>
      </c>
      <c r="AN118" s="809">
        <f>SUMIFS('Vehicle data-proc2023'!AG$20:AG$111,'Vehicle data-proc2023'!$N$20:$N$111,Analytica!$C118,'Vehicle data-proc2023'!$Q$20:$Q$111,RIGHT(Analytica!$D118,3))/1000</f>
        <v>363.56136717159279</v>
      </c>
      <c r="AO118" s="809">
        <f>SUMIFS('Vehicle data-proc2023'!AH$20:AH$111,'Vehicle data-proc2023'!$N$20:$N$111,Analytica!$C118,'Vehicle data-proc2023'!$Q$20:$Q$111,RIGHT(Analytica!$D118,3))/1000</f>
        <v>371.50085823323019</v>
      </c>
      <c r="AP118" s="809">
        <f>SUMIFS('Vehicle data-proc2023'!AI$20:AI$111,'Vehicle data-proc2023'!$N$20:$N$111,Analytica!$C118,'Vehicle data-proc2023'!$Q$20:$Q$111,RIGHT(Analytica!$D118,3))/1000</f>
        <v>379.44034929486759</v>
      </c>
      <c r="AQ118" s="809">
        <f>SUMIFS('Vehicle data-proc2023'!AJ$20:AJ$111,'Vehicle data-proc2023'!$N$20:$N$111,Analytica!$C118,'Vehicle data-proc2023'!$Q$20:$Q$111,RIGHT(Analytica!$D118,3))/1000</f>
        <v>387.39622422821134</v>
      </c>
      <c r="AR118" s="80"/>
      <c r="AT118" s="810">
        <f t="shared" si="73"/>
        <v>2.7E-2</v>
      </c>
      <c r="AU118" s="80">
        <f t="shared" si="74"/>
        <v>8.7089725146410153</v>
      </c>
      <c r="AV118" s="80">
        <f t="shared" si="75"/>
        <v>9.4672226951283402</v>
      </c>
      <c r="AW118" s="80">
        <f t="shared" si="76"/>
        <v>9.8161569136330051</v>
      </c>
      <c r="AX118" s="80">
        <f t="shared" si="77"/>
        <v>10.244889430961425</v>
      </c>
      <c r="AY118" s="811">
        <f t="shared" si="78"/>
        <v>10.459698054161706</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06">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Z119" s="808">
        <f t="shared" si="93"/>
        <v>0.35899070068700906</v>
      </c>
      <c r="AA119" s="808">
        <f>1/SUMIFS('Vehicle data-proc2023'!AL$20:AL$111,'Vehicle data-proc2023'!$N$20:$N$111,Analytica!$C119,'Vehicle data-proc2023'!$Q$20:$Q$111,RIGHT(Analytica!$D119,3))</f>
        <v>0.36442986193004773</v>
      </c>
      <c r="AB119" s="808">
        <f>1/SUMIFS('Vehicle data-proc2023'!AM$20:AM$111,'Vehicle data-proc2023'!$N$20:$N$111,Analytica!$C119,'Vehicle data-proc2023'!$Q$20:$Q$111,RIGHT(Analytica!$D119,3))</f>
        <v>0.36995143331622149</v>
      </c>
      <c r="AC119" s="808">
        <f>1/SUMIFS('Vehicle data-proc2023'!AN$20:AN$111,'Vehicle data-proc2023'!$N$20:$N$111,Analytica!$C119,'Vehicle data-proc2023'!$Q$20:$Q$111,RIGHT(Analytica!$D119,3))</f>
        <v>0.39887751903311353</v>
      </c>
      <c r="AD119" s="808">
        <f>1/SUMIFS('Vehicle data-proc2023'!AO$20:AO$111,'Vehicle data-proc2023'!$N$20:$N$111,Analytica!$C119,'Vehicle data-proc2023'!$Q$20:$Q$111,RIGHT(Analytica!$D119,3))</f>
        <v>0.4410497842178378</v>
      </c>
      <c r="AE119" s="822">
        <f>1/SUMIFS('Vehicle data-proc2023'!AP$20:AP$111,'Vehicle data-proc2023'!$N$20:$N$111,Analytica!$C119,'Vehicle data-proc2023'!$Q$20:$Q$111,RIGHT(Analytica!$D119,3))</f>
        <v>0.48768081146847597</v>
      </c>
      <c r="AF119" s="822"/>
      <c r="AG119" s="809"/>
      <c r="AH119" s="809"/>
      <c r="AI119" s="809"/>
      <c r="AJ119" s="809"/>
      <c r="AK119" s="809">
        <f>SUMIFS('Vehicle data-proc2023'!AD$20:AD$111,'Vehicle data-proc2023'!$N$20:$N$111,Analytica!$C119,'Vehicle data-proc2023'!$Q$20:$Q$111,RIGHT(Analytica!$D119,3))/1000</f>
        <v>519.12041439989491</v>
      </c>
      <c r="AL119" s="809">
        <f>SUMIFS('Vehicle data-proc2023'!AE$20:AE$111,'Vehicle data-proc2023'!$N$20:$N$111,Analytica!$C119,'Vehicle data-proc2023'!$Q$20:$Q$111,RIGHT(Analytica!$D119,3))/1000</f>
        <v>545.62674611489456</v>
      </c>
      <c r="AM119" s="809">
        <f>SUMIFS('Vehicle data-proc2023'!AF$20:AF$111,'Vehicle data-proc2023'!$N$20:$N$111,Analytica!$C119,'Vehicle data-proc2023'!$Q$20:$Q$111,RIGHT(Analytica!$D119,3))/1000</f>
        <v>551.3701241175919</v>
      </c>
      <c r="AN119" s="809">
        <f>SUMIFS('Vehicle data-proc2023'!AG$20:AG$111,'Vehicle data-proc2023'!$N$20:$N$111,Analytica!$C119,'Vehicle data-proc2023'!$Q$20:$Q$111,RIGHT(Analytica!$D119,3))/1000</f>
        <v>557.11350212028935</v>
      </c>
      <c r="AO119" s="809">
        <f>SUMIFS('Vehicle data-proc2023'!AH$20:AH$111,'Vehicle data-proc2023'!$N$20:$N$111,Analytica!$C119,'Vehicle data-proc2023'!$Q$20:$Q$111,RIGHT(Analytica!$D119,3))/1000</f>
        <v>565.34503849646865</v>
      </c>
      <c r="AP119" s="809">
        <f>SUMIFS('Vehicle data-proc2023'!AI$20:AI$111,'Vehicle data-proc2023'!$N$20:$N$111,Analytica!$C119,'Vehicle data-proc2023'!$Q$20:$Q$111,RIGHT(Analytica!$D119,3))/1000</f>
        <v>573.57657487264794</v>
      </c>
      <c r="AQ119" s="809">
        <f>SUMIFS('Vehicle data-proc2023'!AJ$20:AJ$111,'Vehicle data-proc2023'!$N$20:$N$111,Analytica!$C119,'Vehicle data-proc2023'!$Q$20:$Q$111,RIGHT(Analytica!$D119,3))/1000</f>
        <v>580.79572210982678</v>
      </c>
      <c r="AR119" s="80"/>
      <c r="AT119" s="810">
        <f t="shared" si="73"/>
        <v>2.7E-2</v>
      </c>
      <c r="AU119" s="80">
        <f t="shared" si="74"/>
        <v>14.016251188797163</v>
      </c>
      <c r="AV119" s="80">
        <f t="shared" si="75"/>
        <v>14.731922145102153</v>
      </c>
      <c r="AW119" s="80">
        <f t="shared" si="76"/>
        <v>15.042064557247812</v>
      </c>
      <c r="AX119" s="80">
        <f t="shared" si="77"/>
        <v>15.486567521561494</v>
      </c>
      <c r="AY119" s="811">
        <f t="shared" si="78"/>
        <v>15.681484496965323</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06">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Z120" s="808">
        <f t="shared" si="93"/>
        <v>0.85487345304641404</v>
      </c>
      <c r="AA120" s="808">
        <f>1/SUMIFS('Vehicle data-proc2023'!AL$20:AL$111,'Vehicle data-proc2023'!$N$20:$N$111,Analytica!$C120,'Vehicle data-proc2023'!$Q$20:$Q$111,RIGHT(Analytica!$D120,3))</f>
        <v>0.86782586252279958</v>
      </c>
      <c r="AB120" s="808">
        <f>1/SUMIFS('Vehicle data-proc2023'!AM$20:AM$111,'Vehicle data-proc2023'!$N$20:$N$111,Analytica!$C120,'Vehicle data-proc2023'!$Q$20:$Q$111,RIGHT(Analytica!$D120,3))</f>
        <v>0.88097451731554877</v>
      </c>
      <c r="AC120" s="808">
        <f>1/SUMIFS('Vehicle data-proc2023'!AN$20:AN$111,'Vehicle data-proc2023'!$N$20:$N$111,Analytica!$C120,'Vehicle data-proc2023'!$Q$20:$Q$111,RIGHT(Analytica!$D120,3))</f>
        <v>0.94985692215944351</v>
      </c>
      <c r="AD120" s="808">
        <f>1/SUMIFS('Vehicle data-proc2023'!AO$20:AO$111,'Vehicle data-proc2023'!$N$20:$N$111,Analytica!$C120,'Vehicle data-proc2023'!$Q$20:$Q$111,RIGHT(Analytica!$D120,3))</f>
        <v>1.050282782473543</v>
      </c>
      <c r="AE120" s="822">
        <f>1/SUMIFS('Vehicle data-proc2023'!AP$20:AP$111,'Vehicle data-proc2023'!$N$20:$N$111,Analytica!$C120,'Vehicle data-proc2023'!$Q$20:$Q$111,RIGHT(Analytica!$D120,3))</f>
        <v>1.1613264034045769</v>
      </c>
      <c r="AF120" s="822"/>
      <c r="AG120" s="809"/>
      <c r="AH120" s="809"/>
      <c r="AI120" s="809"/>
      <c r="AJ120" s="809"/>
      <c r="AK120" s="809">
        <f>SUMIFS('Vehicle data-proc2023'!AD$20:AD$111,'Vehicle data-proc2023'!$N$20:$N$111,Analytica!$C120,'Vehicle data-proc2023'!$Q$20:$Q$111,RIGHT(Analytica!$D120,3))/1000</f>
        <v>4426.9422286890122</v>
      </c>
      <c r="AL120" s="809">
        <f>SUMIFS('Vehicle data-proc2023'!AE$20:AE$111,'Vehicle data-proc2023'!$N$20:$N$111,Analytica!$C120,'Vehicle data-proc2023'!$Q$20:$Q$111,RIGHT(Analytica!$D120,3))/1000</f>
        <v>1769.9627067509173</v>
      </c>
      <c r="AM120" s="809">
        <f>SUMIFS('Vehicle data-proc2023'!AF$20:AF$111,'Vehicle data-proc2023'!$N$20:$N$111,Analytica!$C120,'Vehicle data-proc2023'!$Q$20:$Q$111,RIGHT(Analytica!$D120,3))/1000</f>
        <v>1358.7481529305462</v>
      </c>
      <c r="AN120" s="809">
        <f>SUMIFS('Vehicle data-proc2023'!AG$20:AG$111,'Vehicle data-proc2023'!$N$20:$N$111,Analytica!$C120,'Vehicle data-proc2023'!$Q$20:$Q$111,RIGHT(Analytica!$D120,3))/1000</f>
        <v>947.53359911017537</v>
      </c>
      <c r="AO120" s="809">
        <f>SUMIFS('Vehicle data-proc2023'!AH$20:AH$111,'Vehicle data-proc2023'!$N$20:$N$111,Analytica!$C120,'Vehicle data-proc2023'!$Q$20:$Q$111,RIGHT(Analytica!$D120,3))/1000</f>
        <v>902.30995825479886</v>
      </c>
      <c r="AP120" s="809">
        <f>SUMIFS('Vehicle data-proc2023'!AI$20:AI$111,'Vehicle data-proc2023'!$N$20:$N$111,Analytica!$C120,'Vehicle data-proc2023'!$Q$20:$Q$111,RIGHT(Analytica!$D120,3))/1000</f>
        <v>857.08631739942234</v>
      </c>
      <c r="AQ120" s="809">
        <f>SUMIFS('Vehicle data-proc2023'!AJ$20:AJ$111,'Vehicle data-proc2023'!$N$20:$N$111,Analytica!$C120,'Vehicle data-proc2023'!$Q$20:$Q$111,RIGHT(Analytica!$D120,3))/1000</f>
        <v>387.39622422821134</v>
      </c>
      <c r="AR120" s="80"/>
      <c r="AT120" s="810">
        <f t="shared" si="73"/>
        <v>2.7E-2</v>
      </c>
      <c r="AU120" s="80">
        <f t="shared" si="74"/>
        <v>119.52744017460333</v>
      </c>
      <c r="AV120" s="80">
        <f t="shared" si="75"/>
        <v>47.788993082274764</v>
      </c>
      <c r="AW120" s="80">
        <f t="shared" si="76"/>
        <v>25.583407175974735</v>
      </c>
      <c r="AX120" s="80">
        <f t="shared" si="77"/>
        <v>23.141330569784405</v>
      </c>
      <c r="AY120" s="811">
        <f t="shared" si="78"/>
        <v>10.459698054161706</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06">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Z121" s="808">
        <f t="shared" si="93"/>
        <v>0.42121105878886406</v>
      </c>
      <c r="AA121" s="808">
        <f>1/SUMIFS('Vehicle data-proc2023'!AL$20:AL$111,'Vehicle data-proc2023'!$N$20:$N$111,Analytica!$C121,'Vehicle data-proc2023'!$Q$20:$Q$111,RIGHT(Analytica!$D121,3))</f>
        <v>0.42759293682001998</v>
      </c>
      <c r="AB121" s="808">
        <f>1/SUMIFS('Vehicle data-proc2023'!AM$20:AM$111,'Vehicle data-proc2023'!$N$20:$N$111,Analytica!$C121,'Vehicle data-proc2023'!$Q$20:$Q$111,RIGHT(Analytica!$D121,3))</f>
        <v>0.43407150834094715</v>
      </c>
      <c r="AC121" s="808">
        <f>1/SUMIFS('Vehicle data-proc2023'!AN$20:AN$111,'Vehicle data-proc2023'!$N$20:$N$111,Analytica!$C121,'Vehicle data-proc2023'!$Q$20:$Q$111,RIGHT(Analytica!$D121,3))</f>
        <v>0.46801107047476492</v>
      </c>
      <c r="AD121" s="808">
        <f>1/SUMIFS('Vehicle data-proc2023'!AO$20:AO$111,'Vehicle data-proc2023'!$N$20:$N$111,Analytica!$C121,'Vehicle data-proc2023'!$Q$20:$Q$111,RIGHT(Analytica!$D121,3))</f>
        <v>0.51749264321742416</v>
      </c>
      <c r="AE121" s="822">
        <f>1/SUMIFS('Vehicle data-proc2023'!AP$20:AP$111,'Vehicle data-proc2023'!$N$20:$N$111,Analytica!$C121,'Vehicle data-proc2023'!$Q$20:$Q$111,RIGHT(Analytica!$D121,3))</f>
        <v>0.57220577178333198</v>
      </c>
      <c r="AF121" s="822"/>
      <c r="AG121" s="809"/>
      <c r="AH121" s="809"/>
      <c r="AI121" s="809"/>
      <c r="AJ121" s="809"/>
      <c r="AK121" s="809">
        <f>SUMIFS('Vehicle data-proc2023'!AD$20:AD$111,'Vehicle data-proc2023'!$N$20:$N$111,Analytica!$C121,'Vehicle data-proc2023'!$Q$20:$Q$111,RIGHT(Analytica!$D121,3))/1000</f>
        <v>322.55453757929689</v>
      </c>
      <c r="AL121" s="809">
        <f>SUMIFS('Vehicle data-proc2023'!AE$20:AE$111,'Vehicle data-proc2023'!$N$20:$N$111,Analytica!$C121,'Vehicle data-proc2023'!$Q$20:$Q$111,RIGHT(Analytica!$D121,3))/1000</f>
        <v>350.63787759734595</v>
      </c>
      <c r="AM121" s="809">
        <f>SUMIFS('Vehicle data-proc2023'!AF$20:AF$111,'Vehicle data-proc2023'!$N$20:$N$111,Analytica!$C121,'Vehicle data-proc2023'!$Q$20:$Q$111,RIGHT(Analytica!$D121,3))/1000</f>
        <v>357.09962238446946</v>
      </c>
      <c r="AN121" s="809">
        <f>SUMIFS('Vehicle data-proc2023'!AG$20:AG$111,'Vehicle data-proc2023'!$N$20:$N$111,Analytica!$C121,'Vehicle data-proc2023'!$Q$20:$Q$111,RIGHT(Analytica!$D121,3))/1000</f>
        <v>363.56136717159279</v>
      </c>
      <c r="AO121" s="809">
        <f>SUMIFS('Vehicle data-proc2023'!AH$20:AH$111,'Vehicle data-proc2023'!$N$20:$N$111,Analytica!$C121,'Vehicle data-proc2023'!$Q$20:$Q$111,RIGHT(Analytica!$D121,3))/1000</f>
        <v>371.50085823323019</v>
      </c>
      <c r="AP121" s="809">
        <f>SUMIFS('Vehicle data-proc2023'!AI$20:AI$111,'Vehicle data-proc2023'!$N$20:$N$111,Analytica!$C121,'Vehicle data-proc2023'!$Q$20:$Q$111,RIGHT(Analytica!$D121,3))/1000</f>
        <v>379.44034929486759</v>
      </c>
      <c r="AQ121" s="809">
        <f>SUMIFS('Vehicle data-proc2023'!AJ$20:AJ$111,'Vehicle data-proc2023'!$N$20:$N$111,Analytica!$C121,'Vehicle data-proc2023'!$Q$20:$Q$111,RIGHT(Analytica!$D121,3))/1000</f>
        <v>387.39622422821134</v>
      </c>
      <c r="AR121" s="80"/>
      <c r="AT121" s="810">
        <f t="shared" si="73"/>
        <v>2.7E-2</v>
      </c>
      <c r="AU121" s="80">
        <f t="shared" si="74"/>
        <v>8.7089725146410153</v>
      </c>
      <c r="AV121" s="80">
        <f t="shared" si="75"/>
        <v>9.4672226951283402</v>
      </c>
      <c r="AW121" s="80">
        <f t="shared" si="76"/>
        <v>9.8161569136330051</v>
      </c>
      <c r="AX121" s="80">
        <f t="shared" si="77"/>
        <v>10.244889430961425</v>
      </c>
      <c r="AY121" s="811">
        <f t="shared" si="78"/>
        <v>10.459698054161706</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06">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168">
        <v>20.2766535675485</v>
      </c>
      <c r="T122" s="61">
        <f>S122</f>
        <v>20.2766535675485</v>
      </c>
      <c r="U122" s="187">
        <f t="shared" si="95"/>
        <v>17.999810925371779</v>
      </c>
      <c r="V122" s="187">
        <f t="shared" si="95"/>
        <v>15.509847251587836</v>
      </c>
      <c r="W122" s="187">
        <f t="shared" si="95"/>
        <v>13.364327145709623</v>
      </c>
      <c r="X122" s="187">
        <f t="shared" si="95"/>
        <v>11.515602775473257</v>
      </c>
      <c r="Z122" s="808">
        <f t="shared" si="93"/>
        <v>1.4549555903750002</v>
      </c>
      <c r="AA122" s="808">
        <f>1/SUMIFS('Vehicle data-proc2023'!AL$20:AL$111,'Vehicle data-proc2023'!$N$20:$N$111,Analytica!$C122,'Vehicle data-proc2023'!$Q$20:$Q$111,RIGHT(Analytica!$D122,3))</f>
        <v>1.4770000000000001</v>
      </c>
      <c r="AB122" s="808">
        <f>1/SUMIFS('Vehicle data-proc2023'!AM$20:AM$111,'Vehicle data-proc2023'!$N$20:$N$111,Analytica!$C122,'Vehicle data-proc2023'!$Q$20:$Q$111,RIGHT(Analytica!$D122,3))</f>
        <v>1.4993784101944536</v>
      </c>
      <c r="AC122" s="808">
        <f>1/SUMIFS('Vehicle data-proc2023'!AN$20:AN$111,'Vehicle data-proc2023'!$N$20:$N$111,Analytica!$C122,'Vehicle data-proc2023'!$Q$20:$Q$111,RIGHT(Analytica!$D122,3))</f>
        <v>1.6166131186170316</v>
      </c>
      <c r="AD122" s="808">
        <f>1/SUMIFS('Vehicle data-proc2023'!AO$20:AO$111,'Vehicle data-proc2023'!$N$20:$N$111,Analytica!$C122,'Vehicle data-proc2023'!$Q$20:$Q$111,RIGHT(Analytica!$D122,3))</f>
        <v>1.7875333482270686</v>
      </c>
      <c r="AE122" s="822">
        <f>1/SUMIFS('Vehicle data-proc2023'!AP$20:AP$111,'Vehicle data-proc2023'!$N$20:$N$111,Analytica!$C122,'Vehicle data-proc2023'!$Q$20:$Q$111,RIGHT(Analytica!$D122,3))</f>
        <v>1.9765245216847829</v>
      </c>
      <c r="AF122" s="822"/>
      <c r="AG122" s="809"/>
      <c r="AH122" s="822"/>
      <c r="AI122" s="809"/>
      <c r="AJ122" s="809"/>
      <c r="AK122" s="809">
        <f>SUMIFS('Vehicle data-proc2023'!AD$20:AD$111,'Vehicle data-proc2023'!$N$20:$N$111,Analytica!$C122,'Vehicle data-proc2023'!$Q$20:$Q$111,RIGHT(Analytica!$D122,3))/1000</f>
        <v>1600.432933628904</v>
      </c>
      <c r="AL122" s="809">
        <f>SUMIFS('Vehicle data-proc2023'!AE$20:AE$111,'Vehicle data-proc2023'!$N$20:$N$111,Analytica!$C122,'Vehicle data-proc2023'!$Q$20:$Q$111,RIGHT(Analytica!$D122,3))/1000</f>
        <v>1094.5888281386417</v>
      </c>
      <c r="AM122" s="809">
        <f>SUMIFS('Vehicle data-proc2023'!AF$20:AF$111,'Vehicle data-proc2023'!$N$20:$N$111,Analytica!$C122,'Vehicle data-proc2023'!$Q$20:$Q$111,RIGHT(Analytica!$D122,3))/1000</f>
        <v>1007.0853648438302</v>
      </c>
      <c r="AN122" s="809">
        <f>SUMIFS('Vehicle data-proc2023'!AG$20:AG$111,'Vehicle data-proc2023'!$N$20:$N$111,Analytica!$C122,'Vehicle data-proc2023'!$Q$20:$Q$111,RIGHT(Analytica!$D122,3))/1000</f>
        <v>919.58190154901843</v>
      </c>
      <c r="AO122" s="809">
        <f>SUMIFS('Vehicle data-proc2023'!AH$20:AH$111,'Vehicle data-proc2023'!$N$20:$N$111,Analytica!$C122,'Vehicle data-proc2023'!$Q$20:$Q$111,RIGHT(Analytica!$D122,3))/1000</f>
        <v>928.70146574433534</v>
      </c>
      <c r="AP122" s="809">
        <f>SUMIFS('Vehicle data-proc2023'!AI$20:AI$111,'Vehicle data-proc2023'!$N$20:$N$111,Analytica!$C122,'Vehicle data-proc2023'!$Q$20:$Q$111,RIGHT(Analytica!$D122,3))/1000</f>
        <v>379.44034929486759</v>
      </c>
      <c r="AQ122" s="809">
        <f>SUMIFS('Vehicle data-proc2023'!AJ$20:AJ$111,'Vehicle data-proc2023'!$N$20:$N$111,Analytica!$C122,'Vehicle data-proc2023'!$Q$20:$Q$111,RIGHT(Analytica!$D122,3))/1000</f>
        <v>387.39622422821134</v>
      </c>
      <c r="AR122" s="80"/>
      <c r="AT122" s="810">
        <f t="shared" si="73"/>
        <v>2.0250000000000001E-2</v>
      </c>
      <c r="AU122" s="80">
        <f t="shared" si="74"/>
        <v>32.40876690598531</v>
      </c>
      <c r="AV122" s="80">
        <f t="shared" si="75"/>
        <v>22.165423769807497</v>
      </c>
      <c r="AW122" s="80">
        <f t="shared" si="76"/>
        <v>18.621533506367623</v>
      </c>
      <c r="AX122" s="80">
        <f t="shared" si="77"/>
        <v>7.683667073221069</v>
      </c>
      <c r="AY122" s="811">
        <f t="shared" si="78"/>
        <v>7.8447735406212802</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06">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61">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Z123" s="808">
        <f t="shared" si="93"/>
        <v>0.57611793589061622</v>
      </c>
      <c r="AA123" s="808">
        <f>1/SUMIFS('Vehicle data-proc2023'!AL$20:AL$111,'Vehicle data-proc2023'!$N$20:$N$111,Analytica!$C123,'Vehicle data-proc2023'!$Q$20:$Q$111,RIGHT(Analytica!$D123,3))</f>
        <v>0.58484684820594601</v>
      </c>
      <c r="AB123" s="808">
        <f>1/SUMIFS('Vehicle data-proc2023'!AM$20:AM$111,'Vehicle data-proc2023'!$N$20:$N$111,Analytica!$C123,'Vehicle data-proc2023'!$Q$20:$Q$111,RIGHT(Analytica!$D123,3))</f>
        <v>0.59370801453640365</v>
      </c>
      <c r="AC123" s="808">
        <f>1/SUMIFS('Vehicle data-proc2023'!AN$20:AN$111,'Vehicle data-proc2023'!$N$20:$N$111,Analytica!$C123,'Vehicle data-proc2023'!$Q$20:$Q$111,RIGHT(Analytica!$D123,3))</f>
        <v>0.64012937521432356</v>
      </c>
      <c r="AD123" s="808">
        <f>1/SUMIFS('Vehicle data-proc2023'!AO$20:AO$111,'Vehicle data-proc2023'!$N$20:$N$111,Analytica!$C123,'Vehicle data-proc2023'!$Q$20:$Q$111,RIGHT(Analytica!$D123,3))</f>
        <v>0.7078085611195819</v>
      </c>
      <c r="AE123" s="822">
        <f>1/SUMIFS('Vehicle data-proc2023'!AP$20:AP$111,'Vehicle data-proc2023'!$N$20:$N$111,Analytica!$C123,'Vehicle data-proc2023'!$Q$20:$Q$111,RIGHT(Analytica!$D123,3))</f>
        <v>0.7826432883609411</v>
      </c>
      <c r="AF123" s="822"/>
      <c r="AG123" s="809"/>
      <c r="AH123" s="809">
        <v>332.33640000000003</v>
      </c>
      <c r="AI123" s="809">
        <v>332.33640000000003</v>
      </c>
      <c r="AJ123" s="809"/>
      <c r="AK123" s="809">
        <f>SUMIFS('Vehicle data-proc2023'!AD$20:AD$111,'Vehicle data-proc2023'!$N$20:$N$111,Analytica!$C123,'Vehicle data-proc2023'!$Q$20:$Q$111,RIGHT(Analytica!$D123,3))/1000</f>
        <v>96.467645499958365</v>
      </c>
      <c r="AL123" s="809">
        <f>SUMIFS('Vehicle data-proc2023'!AE$20:AE$111,'Vehicle data-proc2023'!$N$20:$N$111,Analytica!$C123,'Vehicle data-proc2023'!$Q$20:$Q$111,RIGHT(Analytica!$D123,3))/1000</f>
        <v>100.95258236707701</v>
      </c>
      <c r="AM123" s="809">
        <f>SUMIFS('Vehicle data-proc2023'!AF$20:AF$111,'Vehicle data-proc2023'!$N$20:$N$111,Analytica!$C123,'Vehicle data-proc2023'!$Q$20:$Q$111,RIGHT(Analytica!$D123,3))/1000</f>
        <v>102.36283931314476</v>
      </c>
      <c r="AN123" s="809">
        <f>SUMIFS('Vehicle data-proc2023'!AG$20:AG$111,'Vehicle data-proc2023'!$N$20:$N$111,Analytica!$C123,'Vehicle data-proc2023'!$Q$20:$Q$111,RIGHT(Analytica!$D123,3))/1000</f>
        <v>103.77309625921252</v>
      </c>
      <c r="AO123" s="809">
        <f>SUMIFS('Vehicle data-proc2023'!AH$20:AH$111,'Vehicle data-proc2023'!$N$20:$N$111,Analytica!$C123,'Vehicle data-proc2023'!$Q$20:$Q$111,RIGHT(Analytica!$D123,3))/1000</f>
        <v>105.37719050256098</v>
      </c>
      <c r="AP123" s="809">
        <f>SUMIFS('Vehicle data-proc2023'!AI$20:AI$111,'Vehicle data-proc2023'!$N$20:$N$111,Analytica!$C123,'Vehicle data-proc2023'!$Q$20:$Q$111,RIGHT(Analytica!$D123,3))/1000</f>
        <v>106.98128474590941</v>
      </c>
      <c r="AQ123" s="809">
        <f>SUMIFS('Vehicle data-proc2023'!AJ$20:AJ$111,'Vehicle data-proc2023'!$N$20:$N$111,Analytica!$C123,'Vehicle data-proc2023'!$Q$20:$Q$111,RIGHT(Analytica!$D123,3))/1000</f>
        <v>108.46433187891265</v>
      </c>
      <c r="AR123" s="80"/>
      <c r="AT123" s="810">
        <f t="shared" ref="AT123:AT131" si="98">IF($C123&lt;&gt;$AY$55,$AX$56,$AX$55)</f>
        <v>2.7E-2</v>
      </c>
      <c r="AU123" s="80">
        <f t="shared" ref="AU123:AU131" si="99">$AT123*AK123</f>
        <v>2.604626428498876</v>
      </c>
      <c r="AV123" s="80">
        <f t="shared" ref="AV123:AV131" si="100">$AT123*AL123</f>
        <v>2.7257197239110793</v>
      </c>
      <c r="AW123" s="80">
        <f t="shared" ref="AW123:AW131" si="101">$AT123*AN123</f>
        <v>2.8018735989987382</v>
      </c>
      <c r="AX123" s="80">
        <f t="shared" ref="AX123:AX131" si="102">$AT123*AP123</f>
        <v>2.8884946881395539</v>
      </c>
      <c r="AY123" s="811">
        <f t="shared" ref="AY123:AY131" si="103">$AT123*AQ123</f>
        <v>2.9285369607306415</v>
      </c>
      <c r="BA123" s="164">
        <f t="shared" si="92"/>
        <v>1</v>
      </c>
    </row>
    <row r="124" spans="1:57" x14ac:dyDescent="0.25">
      <c r="A124" s="61" t="str">
        <f t="shared" si="97"/>
        <v>MOTELC</v>
      </c>
      <c r="B124" s="61" t="str">
        <f>D124&amp;C124&amp;"-N"</f>
        <v>TPPRMOTELC-N</v>
      </c>
      <c r="C124" s="61" t="s">
        <v>501</v>
      </c>
      <c r="D124" s="61" t="s">
        <v>512</v>
      </c>
      <c r="E124" t="s">
        <v>498</v>
      </c>
      <c r="F124" s="806">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168">
        <f>W41</f>
        <v>4.9995594866529798</v>
      </c>
      <c r="T124" s="61">
        <f>S124/((1+T$57)^(T$58-S$58))</f>
        <v>4.572308094547143</v>
      </c>
      <c r="U124" s="187">
        <f t="shared" si="95"/>
        <v>4.0588887569747962</v>
      </c>
      <c r="V124" s="187">
        <f t="shared" si="95"/>
        <v>3.4974114390907718</v>
      </c>
      <c r="W124" s="187">
        <f t="shared" si="95"/>
        <v>3.0136048329148473</v>
      </c>
      <c r="X124" s="187">
        <f t="shared" si="95"/>
        <v>2.596724533882333</v>
      </c>
      <c r="Z124" s="808">
        <f t="shared" si="93"/>
        <v>2.8573689373918016</v>
      </c>
      <c r="AA124" s="808">
        <f>1/SUMIFS('Vehicle data-proc2023'!AL$20:AL$111,'Vehicle data-proc2023'!$N$20:$N$111,Analytica!$C124,'Vehicle data-proc2023'!$Q$20:$Q$111,RIGHT(Analytica!$D124,3))</f>
        <v>2.9006616754810661</v>
      </c>
      <c r="AB124" s="808">
        <f>1/SUMIFS('Vehicle data-proc2023'!AM$20:AM$111,'Vehicle data-proc2023'!$N$20:$N$111,Analytica!$C124,'Vehicle data-proc2023'!$Q$20:$Q$111,RIGHT(Analytica!$D124,3))</f>
        <v>2.9446103530770351</v>
      </c>
      <c r="AC124" s="808">
        <f>1/SUMIFS('Vehicle data-proc2023'!AN$20:AN$111,'Vehicle data-proc2023'!$N$20:$N$111,Analytica!$C124,'Vehicle data-proc2023'!$Q$20:$Q$111,RIGHT(Analytica!$D124,3))</f>
        <v>3.1748461186542651</v>
      </c>
      <c r="AD124" s="808">
        <f>1/SUMIFS('Vehicle data-proc2023'!AO$20:AO$111,'Vehicle data-proc2023'!$N$20:$N$111,Analytica!$C124,'Vehicle data-proc2023'!$Q$20:$Q$111,RIGHT(Analytica!$D124,3))</f>
        <v>3.510514202333519</v>
      </c>
      <c r="AE124" s="822">
        <f>1/SUMIFS('Vehicle data-proc2023'!AP$20:AP$111,'Vehicle data-proc2023'!$N$20:$N$111,Analytica!$C124,'Vehicle data-proc2023'!$Q$20:$Q$111,RIGHT(Analytica!$D124,3))</f>
        <v>3.8816715847661438</v>
      </c>
      <c r="AF124" s="822"/>
      <c r="AG124" s="809"/>
      <c r="AH124" s="822">
        <v>332.33640000000003</v>
      </c>
      <c r="AI124" s="809">
        <v>332.33640000000003</v>
      </c>
      <c r="AJ124" s="809"/>
      <c r="AK124" s="809">
        <f>SUMIFS('Vehicle data-proc2023'!AD$20:AD$111,'Vehicle data-proc2023'!$N$20:$N$111,Analytica!$C124,'Vehicle data-proc2023'!$Q$20:$Q$111,RIGHT(Analytica!$D124,3))/1000</f>
        <v>771.31459438570312</v>
      </c>
      <c r="AL124" s="809">
        <f>SUMIFS('Vehicle data-proc2023'!AE$20:AE$111,'Vehicle data-proc2023'!$N$20:$N$111,Analytica!$C124,'Vehicle data-proc2023'!$Q$20:$Q$111,RIGHT(Analytica!$D124,3))/1000</f>
        <v>615.65608841634025</v>
      </c>
      <c r="AM124" s="809">
        <f>SUMIFS('Vehicle data-proc2023'!AF$20:AF$111,'Vehicle data-proc2023'!$N$20:$N$111,Analytica!$C124,'Vehicle data-proc2023'!$Q$20:$Q$111,RIGHT(Analytica!$D124,3))/1000</f>
        <v>581.65822367545468</v>
      </c>
      <c r="AN124" s="809">
        <f>SUMIFS('Vehicle data-proc2023'!AG$20:AG$111,'Vehicle data-proc2023'!$N$20:$N$111,Analytica!$C124,'Vehicle data-proc2023'!$Q$20:$Q$111,RIGHT(Analytica!$D124,3))/1000</f>
        <v>547.6603589345691</v>
      </c>
      <c r="AO124" s="809">
        <f>SUMIFS('Vehicle data-proc2023'!AH$20:AH$111,'Vehicle data-proc2023'!$N$20:$N$111,Analytica!$C124,'Vehicle data-proc2023'!$Q$20:$Q$111,RIGHT(Analytica!$D124,3))/1000</f>
        <v>105.37719050256098</v>
      </c>
      <c r="AP124" s="809">
        <f>SUMIFS('Vehicle data-proc2023'!AI$20:AI$111,'Vehicle data-proc2023'!$N$20:$N$111,Analytica!$C124,'Vehicle data-proc2023'!$Q$20:$Q$111,RIGHT(Analytica!$D124,3))/1000</f>
        <v>106.98128474590941</v>
      </c>
      <c r="AQ124" s="809">
        <f>SUMIFS('Vehicle data-proc2023'!AJ$20:AJ$111,'Vehicle data-proc2023'!$N$20:$N$111,Analytica!$C124,'Vehicle data-proc2023'!$Q$20:$Q$111,RIGHT(Analytica!$D124,3))/1000</f>
        <v>108.46433187891265</v>
      </c>
      <c r="AR124" s="80"/>
      <c r="AT124" s="810">
        <f t="shared" si="98"/>
        <v>2.0250000000000001E-2</v>
      </c>
      <c r="AU124" s="80">
        <f t="shared" si="99"/>
        <v>15.619120536310488</v>
      </c>
      <c r="AV124" s="80">
        <f t="shared" si="100"/>
        <v>12.46703579043089</v>
      </c>
      <c r="AW124" s="80">
        <f t="shared" si="101"/>
        <v>11.090122268425025</v>
      </c>
      <c r="AX124" s="80">
        <f t="shared" si="102"/>
        <v>2.1663710161046654</v>
      </c>
      <c r="AY124" s="811">
        <f t="shared" si="103"/>
        <v>2.1964027205479812</v>
      </c>
      <c r="BA124" s="164">
        <f t="shared" si="92"/>
        <v>0</v>
      </c>
      <c r="BC124" s="167"/>
    </row>
    <row r="125" spans="1:57" x14ac:dyDescent="0.25">
      <c r="A125" s="61" t="str">
        <f t="shared" si="97"/>
        <v>BRTODS</v>
      </c>
      <c r="B125" s="61" t="s">
        <v>650</v>
      </c>
      <c r="C125" s="61" t="s">
        <v>511</v>
      </c>
      <c r="D125" s="61" t="str">
        <f>LEFT(B125,7)</f>
        <v>TPPUBRT</v>
      </c>
      <c r="E125" s="61" t="s">
        <v>510</v>
      </c>
      <c r="F125" s="806">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808">
        <f t="shared" si="93"/>
        <v>6.3387932340570441E-2</v>
      </c>
      <c r="AA125" s="808">
        <f>1/SUMIFS('Vehicle data-proc2023'!AL$20:AL$111,'Vehicle data-proc2023'!$N$20:$N$111,Analytica!$C125,'Vehicle data-proc2023'!$Q$20:$Q$111,RIGHT(Analytica!$D125,3))</f>
        <v>6.4348339348895098E-2</v>
      </c>
      <c r="AB125" s="808">
        <f>1/SUMIFS('Vehicle data-proc2023'!AM$20:AM$111,'Vehicle data-proc2023'!$N$20:$N$111,Analytica!$C125,'Vehicle data-proc2023'!$Q$20:$Q$111,RIGHT(Analytica!$D125,3))</f>
        <v>6.5323297732971908E-2</v>
      </c>
      <c r="AC125" s="808">
        <f>1/SUMIFS('Vehicle data-proc2023'!AN$20:AN$111,'Vehicle data-proc2023'!$N$20:$N$111,Analytica!$C125,'Vehicle data-proc2023'!$Q$20:$Q$111,RIGHT(Analytica!$D125,3))</f>
        <v>7.043085277768743E-2</v>
      </c>
      <c r="AD125" s="808">
        <f>1/SUMIFS('Vehicle data-proc2023'!AO$20:AO$111,'Vehicle data-proc2023'!$N$20:$N$111,Analytica!$C125,'Vehicle data-proc2023'!$Q$20:$Q$111,RIGHT(Analytica!$D125,3))</f>
        <v>7.7877320574937056E-2</v>
      </c>
      <c r="AE125" s="822">
        <f>1/SUMIFS('Vehicle data-proc2023'!AP$20:AP$111,'Vehicle data-proc2023'!$N$20:$N$111,Analytica!$C125,'Vehicle data-proc2023'!$Q$20:$Q$111,RIGHT(Analytica!$D125,3))</f>
        <v>8.6111083718879447E-2</v>
      </c>
      <c r="AF125" s="822"/>
      <c r="AG125" s="809"/>
      <c r="AH125" s="809">
        <f>AH59</f>
        <v>306.87549999999999</v>
      </c>
      <c r="AI125" s="809">
        <f>AI59</f>
        <v>636.66302862985685</v>
      </c>
      <c r="AJ125" s="809"/>
      <c r="AK125" s="809">
        <f>SUMIFS('Vehicle data-proc2023'!AD$20:AD$111,'Vehicle data-proc2023'!$N$20:$N$111,Analytica!$C125,'Vehicle data-proc2023'!$Q$20:$Q$111,RIGHT(Analytica!$D125,3))/1000</f>
        <v>2374.3503925985524</v>
      </c>
      <c r="AL125" s="809">
        <f>SUMIFS('Vehicle data-proc2023'!AE$20:AE$111,'Vehicle data-proc2023'!$N$20:$N$111,Analytica!$C125,'Vehicle data-proc2023'!$Q$20:$Q$111,RIGHT(Analytica!$D125,3))/1000</f>
        <v>2567.1258296431106</v>
      </c>
      <c r="AM125" s="809">
        <f>SUMIFS('Vehicle data-proc2023'!AF$20:AF$111,'Vehicle data-proc2023'!$N$20:$N$111,Analytica!$C125,'Vehicle data-proc2023'!$Q$20:$Q$111,RIGHT(Analytica!$D125,3))/1000</f>
        <v>2615.0579469287945</v>
      </c>
      <c r="AN125" s="809">
        <f>SUMIFS('Vehicle data-proc2023'!AG$20:AG$111,'Vehicle data-proc2023'!$N$20:$N$111,Analytica!$C125,'Vehicle data-proc2023'!$Q$20:$Q$111,RIGHT(Analytica!$D125,3))/1000</f>
        <v>2662.9900642144776</v>
      </c>
      <c r="AO125" s="809">
        <f>SUMIFS('Vehicle data-proc2023'!AH$20:AH$111,'Vehicle data-proc2023'!$N$20:$N$111,Analytica!$C125,'Vehicle data-proc2023'!$Q$20:$Q$111,RIGHT(Analytica!$D125,3))/1000</f>
        <v>2693.807548805125</v>
      </c>
      <c r="AP125" s="809">
        <f>SUMIFS('Vehicle data-proc2023'!AI$20:AI$111,'Vehicle data-proc2023'!$N$20:$N$111,Analytica!$C125,'Vehicle data-proc2023'!$Q$20:$Q$111,RIGHT(Analytica!$D125,3))/1000</f>
        <v>2724.6250333957719</v>
      </c>
      <c r="AQ125" s="809">
        <f>SUMIFS('Vehicle data-proc2023'!AJ$20:AJ$111,'Vehicle data-proc2023'!$N$20:$N$111,Analytica!$C125,'Vehicle data-proc2023'!$Q$20:$Q$111,RIGHT(Analytica!$D125,3))/1000</f>
        <v>2794.9861891357077</v>
      </c>
      <c r="AR125" s="80"/>
      <c r="AT125" s="810">
        <f t="shared" si="98"/>
        <v>2.7E-2</v>
      </c>
      <c r="AU125" s="80">
        <f t="shared" si="99"/>
        <v>64.10746060016092</v>
      </c>
      <c r="AV125" s="80">
        <f t="shared" si="100"/>
        <v>69.312397400363992</v>
      </c>
      <c r="AW125" s="80">
        <f t="shared" si="101"/>
        <v>71.900731733790892</v>
      </c>
      <c r="AX125" s="80">
        <f t="shared" si="102"/>
        <v>73.564875901685838</v>
      </c>
      <c r="AY125" s="811">
        <f t="shared" si="103"/>
        <v>75.464627106664111</v>
      </c>
      <c r="BA125" s="164">
        <v>1</v>
      </c>
    </row>
    <row r="126" spans="1:57" x14ac:dyDescent="0.25">
      <c r="A126" s="61" t="str">
        <f t="shared" si="97"/>
        <v>BRTGAS</v>
      </c>
      <c r="B126" s="61" t="str">
        <f>D126&amp;C126&amp;"-N"</f>
        <v>TPPUBRTGAS-N</v>
      </c>
      <c r="C126" s="61" t="s">
        <v>509</v>
      </c>
      <c r="D126" s="61" t="s">
        <v>503</v>
      </c>
      <c r="E126" s="61" t="s">
        <v>508</v>
      </c>
      <c r="F126" s="806">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808">
        <f t="shared" si="93"/>
        <v>5.5119941165713407E-2</v>
      </c>
      <c r="AA126" s="808">
        <f>1/SUMIFS('Vehicle data-proc2023'!AL$20:AL$111,'Vehicle data-proc2023'!$N$20:$N$111,Analytica!$C126,'Vehicle data-proc2023'!$Q$20:$Q$111,RIGHT(Analytica!$D126,3))</f>
        <v>5.5955077694691387E-2</v>
      </c>
      <c r="AB126" s="808">
        <f>1/SUMIFS('Vehicle data-proc2023'!AM$20:AM$111,'Vehicle data-proc2023'!$N$20:$N$111,Analytica!$C126,'Vehicle data-proc2023'!$Q$20:$Q$111,RIGHT(Analytica!$D126,3))</f>
        <v>5.6802867593888626E-2</v>
      </c>
      <c r="AC126" s="808">
        <f>1/SUMIFS('Vehicle data-proc2023'!AN$20:AN$111,'Vehicle data-proc2023'!$N$20:$N$111,Analytica!$C126,'Vehicle data-proc2023'!$Q$20:$Q$111,RIGHT(Analytica!$D126,3))</f>
        <v>6.1244219806684722E-2</v>
      </c>
      <c r="AD126" s="808">
        <f>1/SUMIFS('Vehicle data-proc2023'!AO$20:AO$111,'Vehicle data-proc2023'!$N$20:$N$111,Analytica!$C126,'Vehicle data-proc2023'!$Q$20:$Q$111,RIGHT(Analytica!$D126,3))</f>
        <v>6.7719409195597449E-2</v>
      </c>
      <c r="AE126" s="822">
        <f>1/SUMIFS('Vehicle data-proc2023'!AP$20:AP$111,'Vehicle data-proc2023'!$N$20:$N$111,Analytica!$C126,'Vehicle data-proc2023'!$Q$20:$Q$111,RIGHT(Analytica!$D126,3))</f>
        <v>7.4879203233808214E-2</v>
      </c>
      <c r="AF126" s="822"/>
      <c r="AG126" s="809"/>
      <c r="AH126" s="809">
        <f>AH125*(1+$AR$57)</f>
        <v>337.56305000000003</v>
      </c>
      <c r="AI126" s="809">
        <f>AI125*(1+$AR$57)</f>
        <v>700.32933149284258</v>
      </c>
      <c r="AJ126" s="809"/>
      <c r="AK126" s="809">
        <f>SUMIFS('Vehicle data-proc2023'!AD$20:AD$111,'Vehicle data-proc2023'!$N$20:$N$111,Analytica!$C126,'Vehicle data-proc2023'!$Q$20:$Q$111,RIGHT(Analytica!$D126,3))/1000</f>
        <v>2642.7004378444703</v>
      </c>
      <c r="AL126" s="809">
        <f>SUMIFS('Vehicle data-proc2023'!AE$20:AE$111,'Vehicle data-proc2023'!$N$20:$N$111,Analytica!$C126,'Vehicle data-proc2023'!$Q$20:$Q$111,RIGHT(Analytica!$D126,3))/1000</f>
        <v>2721.9025560658015</v>
      </c>
      <c r="AM126" s="809">
        <f>SUMIFS('Vehicle data-proc2023'!AF$20:AF$111,'Vehicle data-proc2023'!$N$20:$N$111,Analytica!$C126,'Vehicle data-proc2023'!$Q$20:$Q$111,RIGHT(Analytica!$D126,3))/1000</f>
        <v>2750.5027102799208</v>
      </c>
      <c r="AN126" s="809">
        <f>SUMIFS('Vehicle data-proc2023'!AG$20:AG$111,'Vehicle data-proc2023'!$N$20:$N$111,Analytica!$C126,'Vehicle data-proc2023'!$Q$20:$Q$111,RIGHT(Analytica!$D126,3))/1000</f>
        <v>2779.1028644940416</v>
      </c>
      <c r="AO126" s="809">
        <f>SUMIFS('Vehicle data-proc2023'!AH$20:AH$111,'Vehicle data-proc2023'!$N$20:$N$111,Analytica!$C126,'Vehicle data-proc2023'!$Q$20:$Q$111,RIGHT(Analytica!$D126,3))/1000</f>
        <v>2802.2752782397774</v>
      </c>
      <c r="AP126" s="809">
        <f>SUMIFS('Vehicle data-proc2023'!AI$20:AI$111,'Vehicle data-proc2023'!$N$20:$N$111,Analytica!$C126,'Vehicle data-proc2023'!$Q$20:$Q$111,RIGHT(Analytica!$D126,3))/1000</f>
        <v>2825.4476919855119</v>
      </c>
      <c r="AQ126" s="809">
        <f>SUMIFS('Vehicle data-proc2023'!AJ$20:AJ$111,'Vehicle data-proc2023'!$N$20:$N$111,Analytica!$C126,'Vehicle data-proc2023'!$Q$20:$Q$111,RIGHT(Analytica!$D126,3))/1000</f>
        <v>2885.0615408688536</v>
      </c>
      <c r="AR126" s="80"/>
      <c r="AT126" s="810">
        <f t="shared" si="98"/>
        <v>2.7E-2</v>
      </c>
      <c r="AU126" s="80">
        <f t="shared" si="99"/>
        <v>71.352911821800703</v>
      </c>
      <c r="AV126" s="80">
        <f t="shared" si="100"/>
        <v>73.491369013776634</v>
      </c>
      <c r="AW126" s="80">
        <f t="shared" si="101"/>
        <v>75.035777341339127</v>
      </c>
      <c r="AX126" s="80">
        <f t="shared" si="102"/>
        <v>76.287087683608817</v>
      </c>
      <c r="AY126" s="811">
        <f t="shared" si="103"/>
        <v>77.896661603459052</v>
      </c>
      <c r="BA126" s="164">
        <v>0</v>
      </c>
    </row>
    <row r="127" spans="1:57" x14ac:dyDescent="0.25">
      <c r="A127" s="61" t="str">
        <f t="shared" si="97"/>
        <v>BRTELC</v>
      </c>
      <c r="B127" s="61" t="str">
        <f>D127&amp;C127&amp;"-N"</f>
        <v>TPPUBRTELC-N</v>
      </c>
      <c r="C127" s="61" t="s">
        <v>501</v>
      </c>
      <c r="D127" s="61" t="s">
        <v>503</v>
      </c>
      <c r="E127" s="61" t="s">
        <v>507</v>
      </c>
      <c r="F127" s="806">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61">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Z127" s="808">
        <f t="shared" si="93"/>
        <v>0.20645474022958332</v>
      </c>
      <c r="AA127" s="808">
        <f>1/SUMIFS('Vehicle data-proc2023'!AL$20:AL$111,'Vehicle data-proc2023'!$N$20:$N$111,Analytica!$C127,'Vehicle data-proc2023'!$Q$20:$Q$111,RIGHT(Analytica!$D127,3))</f>
        <v>0.20958278956163948</v>
      </c>
      <c r="AB127" s="808">
        <f>1/SUMIFS('Vehicle data-proc2023'!AM$20:AM$111,'Vehicle data-proc2023'!$N$20:$N$111,Analytica!$C127,'Vehicle data-proc2023'!$Q$20:$Q$111,RIGHT(Analytica!$D127,3))</f>
        <v>0.21275823278067008</v>
      </c>
      <c r="AC127" s="808">
        <f>1/SUMIFS('Vehicle data-proc2023'!AN$20:AN$111,'Vehicle data-proc2023'!$N$20:$N$111,Analytica!$C127,'Vehicle data-proc2023'!$Q$20:$Q$111,RIGHT(Analytica!$D127,3))</f>
        <v>0.22939355926993843</v>
      </c>
      <c r="AD127" s="808">
        <f>1/SUMIFS('Vehicle data-proc2023'!AO$20:AO$111,'Vehicle data-proc2023'!$N$20:$N$111,Analytica!$C127,'Vehicle data-proc2023'!$Q$20:$Q$111,RIGHT(Analytica!$D127,3))</f>
        <v>0.25364673361942214</v>
      </c>
      <c r="AE127" s="822">
        <f>1/SUMIFS('Vehicle data-proc2023'!AP$20:AP$111,'Vehicle data-proc2023'!$N$20:$N$111,Analytica!$C127,'Vehicle data-proc2023'!$Q$20:$Q$111,RIGHT(Analytica!$D127,3))</f>
        <v>0.28046413195103725</v>
      </c>
      <c r="AF127" s="822"/>
      <c r="AG127" s="809">
        <v>1</v>
      </c>
      <c r="AH127" s="809">
        <f>AH125*AH69/AH67</f>
        <v>805.56077224193984</v>
      </c>
      <c r="AI127" s="809">
        <f>AI125*AI69/AI67</f>
        <v>961.96098128316271</v>
      </c>
      <c r="AJ127" s="809"/>
      <c r="AK127" s="809">
        <f>SUMIFS('Vehicle data-proc2023'!AD$20:AD$111,'Vehicle data-proc2023'!$N$20:$N$111,Analytica!$C127,'Vehicle data-proc2023'!$Q$20:$Q$111,RIGHT(Analytica!$D127,3))/1000</f>
        <v>4768.2396435325663</v>
      </c>
      <c r="AL127" s="809">
        <f>SUMIFS('Vehicle data-proc2023'!AE$20:AE$111,'Vehicle data-proc2023'!$N$20:$N$111,Analytica!$C127,'Vehicle data-proc2023'!$Q$20:$Q$111,RIGHT(Analytica!$D127,3))/1000</f>
        <v>3635.7292317425008</v>
      </c>
      <c r="AM127" s="809">
        <f>SUMIFS('Vehicle data-proc2023'!AF$20:AF$111,'Vehicle data-proc2023'!$N$20:$N$111,Analytica!$C127,'Vehicle data-proc2023'!$Q$20:$Q$111,RIGHT(Analytica!$D127,3))/1000</f>
        <v>3447.7690113726826</v>
      </c>
      <c r="AN127" s="809">
        <f>SUMIFS('Vehicle data-proc2023'!AG$20:AG$111,'Vehicle data-proc2023'!$N$20:$N$111,Analytica!$C127,'Vehicle data-proc2023'!$Q$20:$Q$111,RIGHT(Analytica!$D127,3))/1000</f>
        <v>3259.8087910028635</v>
      </c>
      <c r="AO127" s="809">
        <f>SUMIFS('Vehicle data-proc2023'!AH$20:AH$111,'Vehicle data-proc2023'!$N$20:$N$111,Analytica!$C127,'Vehicle data-proc2023'!$Q$20:$Q$111,RIGHT(Analytica!$D127,3))/1000</f>
        <v>3281.9757365715932</v>
      </c>
      <c r="AP127" s="809">
        <f>SUMIFS('Vehicle data-proc2023'!AI$20:AI$111,'Vehicle data-proc2023'!$N$20:$N$111,Analytica!$C127,'Vehicle data-proc2023'!$Q$20:$Q$111,RIGHT(Analytica!$D127,3))/1000</f>
        <v>3304.1426821403229</v>
      </c>
      <c r="AQ127" s="809">
        <f>SUMIFS('Vehicle data-proc2023'!AJ$20:AJ$111,'Vehicle data-proc2023'!$N$20:$N$111,Analytica!$C127,'Vehicle data-proc2023'!$Q$20:$Q$111,RIGHT(Analytica!$D127,3))/1000</f>
        <v>3346.2174946838099</v>
      </c>
      <c r="AR127" s="80"/>
      <c r="AT127" s="810">
        <f t="shared" si="98"/>
        <v>2.0250000000000001E-2</v>
      </c>
      <c r="AU127" s="80">
        <f t="shared" si="99"/>
        <v>96.556852781534474</v>
      </c>
      <c r="AV127" s="80">
        <f t="shared" si="100"/>
        <v>73.623516942785642</v>
      </c>
      <c r="AW127" s="80">
        <f t="shared" si="101"/>
        <v>66.011128017807991</v>
      </c>
      <c r="AX127" s="80">
        <f t="shared" si="102"/>
        <v>66.908889313341547</v>
      </c>
      <c r="AY127" s="811">
        <f t="shared" si="103"/>
        <v>67.760904267347158</v>
      </c>
      <c r="BA127" s="164">
        <v>0</v>
      </c>
    </row>
    <row r="128" spans="1:57" x14ac:dyDescent="0.25">
      <c r="A128" s="61" t="str">
        <f t="shared" si="97"/>
        <v>BRTBGS</v>
      </c>
      <c r="B128" s="61" t="str">
        <f>D128&amp;C128&amp;"-N"</f>
        <v>TPPUBRTBGS-N</v>
      </c>
      <c r="C128" s="61" t="s">
        <v>506</v>
      </c>
      <c r="D128" s="61" t="s">
        <v>503</v>
      </c>
      <c r="E128" s="61" t="s">
        <v>505</v>
      </c>
      <c r="F128" s="806">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Z128" s="808">
        <f t="shared" si="93"/>
        <v>6.3387932340570441E-2</v>
      </c>
      <c r="AA128" s="808">
        <f>1/SUMIFS('Vehicle data-proc2023'!AL$20:AL$111,'Vehicle data-proc2023'!$N$20:$N$111,Analytica!$C128,'Vehicle data-proc2023'!$Q$20:$Q$111,RIGHT(Analytica!$D128,3))</f>
        <v>6.4348339348895098E-2</v>
      </c>
      <c r="AB128" s="808">
        <f>1/SUMIFS('Vehicle data-proc2023'!AM$20:AM$111,'Vehicle data-proc2023'!$N$20:$N$111,Analytica!$C128,'Vehicle data-proc2023'!$Q$20:$Q$111,RIGHT(Analytica!$D128,3))</f>
        <v>6.5323297732971908E-2</v>
      </c>
      <c r="AC128" s="808">
        <f>1/SUMIFS('Vehicle data-proc2023'!AN$20:AN$111,'Vehicle data-proc2023'!$N$20:$N$111,Analytica!$C128,'Vehicle data-proc2023'!$Q$20:$Q$111,RIGHT(Analytica!$D128,3))</f>
        <v>7.043085277768743E-2</v>
      </c>
      <c r="AD128" s="808">
        <f>1/SUMIFS('Vehicle data-proc2023'!AO$20:AO$111,'Vehicle data-proc2023'!$N$20:$N$111,Analytica!$C128,'Vehicle data-proc2023'!$Q$20:$Q$111,RIGHT(Analytica!$D128,3))</f>
        <v>7.7877320574937056E-2</v>
      </c>
      <c r="AE128" s="822">
        <f>1/SUMIFS('Vehicle data-proc2023'!AP$20:AP$111,'Vehicle data-proc2023'!$N$20:$N$111,Analytica!$C128,'Vehicle data-proc2023'!$Q$20:$Q$111,RIGHT(Analytica!$D128,3))</f>
        <v>8.6111083718879447E-2</v>
      </c>
      <c r="AF128" s="822"/>
      <c r="AG128" s="809">
        <v>1</v>
      </c>
      <c r="AH128" s="809">
        <f>AH126*AH70/AH68</f>
        <v>371.31935500000009</v>
      </c>
      <c r="AI128" s="809">
        <f>AI126*AI70/AI68</f>
        <v>770.36226464212689</v>
      </c>
      <c r="AJ128" s="809"/>
      <c r="AK128" s="809">
        <f>SUMIFS('Vehicle data-proc2023'!AD$20:AD$111,'Vehicle data-proc2023'!$N$20:$N$111,Analytica!$C128,'Vehicle data-proc2023'!$Q$20:$Q$111,RIGHT(Analytica!$D128,3))/1000</f>
        <v>2374.3503925985524</v>
      </c>
      <c r="AL128" s="809">
        <f>SUMIFS('Vehicle data-proc2023'!AE$20:AE$111,'Vehicle data-proc2023'!$N$20:$N$111,Analytica!$C128,'Vehicle data-proc2023'!$Q$20:$Q$111,RIGHT(Analytica!$D128,3))/1000</f>
        <v>2567.1258296431106</v>
      </c>
      <c r="AM128" s="809">
        <f>SUMIFS('Vehicle data-proc2023'!AF$20:AF$111,'Vehicle data-proc2023'!$N$20:$N$111,Analytica!$C128,'Vehicle data-proc2023'!$Q$20:$Q$111,RIGHT(Analytica!$D128,3))/1000</f>
        <v>2615.0579469287945</v>
      </c>
      <c r="AN128" s="809">
        <f>SUMIFS('Vehicle data-proc2023'!AG$20:AG$111,'Vehicle data-proc2023'!$N$20:$N$111,Analytica!$C128,'Vehicle data-proc2023'!$Q$20:$Q$111,RIGHT(Analytica!$D128,3))/1000</f>
        <v>2662.9900642144776</v>
      </c>
      <c r="AO128" s="809">
        <f>SUMIFS('Vehicle data-proc2023'!AH$20:AH$111,'Vehicle data-proc2023'!$N$20:$N$111,Analytica!$C128,'Vehicle data-proc2023'!$Q$20:$Q$111,RIGHT(Analytica!$D128,3))/1000</f>
        <v>2693.807548805125</v>
      </c>
      <c r="AP128" s="809">
        <f>SUMIFS('Vehicle data-proc2023'!AI$20:AI$111,'Vehicle data-proc2023'!$N$20:$N$111,Analytica!$C128,'Vehicle data-proc2023'!$Q$20:$Q$111,RIGHT(Analytica!$D128,3))/1000</f>
        <v>2724.6250333957719</v>
      </c>
      <c r="AQ128" s="809">
        <f>SUMIFS('Vehicle data-proc2023'!AJ$20:AJ$111,'Vehicle data-proc2023'!$N$20:$N$111,Analytica!$C128,'Vehicle data-proc2023'!$Q$20:$Q$111,RIGHT(Analytica!$D128,3))/1000</f>
        <v>2794.9861891357077</v>
      </c>
      <c r="AR128" s="80"/>
      <c r="AT128" s="810">
        <f t="shared" si="98"/>
        <v>2.7E-2</v>
      </c>
      <c r="AU128" s="80">
        <f t="shared" si="99"/>
        <v>64.10746060016092</v>
      </c>
      <c r="AV128" s="80">
        <f t="shared" si="100"/>
        <v>69.312397400363992</v>
      </c>
      <c r="AW128" s="80">
        <f t="shared" si="101"/>
        <v>71.900731733790892</v>
      </c>
      <c r="AX128" s="80">
        <f t="shared" si="102"/>
        <v>73.564875901685838</v>
      </c>
      <c r="AY128" s="811">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06">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808">
        <f t="shared" si="93"/>
        <v>0.13372636583052552</v>
      </c>
      <c r="AA129" s="808">
        <f>1/SUMIFS('Vehicle data-proc2023'!AL$20:AL$111,'Vehicle data-proc2023'!$N$20:$N$111,Analytica!$C129,'Vehicle data-proc2023'!$Q$20:$Q$111,RIGHT(Analytica!$D129,3))</f>
        <v>0.13575248869333464</v>
      </c>
      <c r="AB129" s="808">
        <f>1/SUMIFS('Vehicle data-proc2023'!AM$20:AM$111,'Vehicle data-proc2023'!$N$20:$N$111,Analytica!$C129,'Vehicle data-proc2023'!$Q$20:$Q$111,RIGHT(Analytica!$D129,3))</f>
        <v>0.13780930986929765</v>
      </c>
      <c r="AC129" s="808">
        <f>1/SUMIFS('Vehicle data-proc2023'!AN$20:AN$111,'Vehicle data-proc2023'!$N$20:$N$111,Analytica!$C129,'Vehicle data-proc2023'!$Q$20:$Q$111,RIGHT(Analytica!$D129,3))</f>
        <v>0.14858446452711918</v>
      </c>
      <c r="AD129" s="808">
        <f>1/SUMIFS('Vehicle data-proc2023'!AO$20:AO$111,'Vehicle data-proc2023'!$N$20:$N$111,Analytica!$C129,'Vehicle data-proc2023'!$Q$20:$Q$111,RIGHT(Analytica!$D129,3))</f>
        <v>0.16429390700348931</v>
      </c>
      <c r="AE129" s="822">
        <f>1/SUMIFS('Vehicle data-proc2023'!AP$20:AP$111,'Vehicle data-proc2023'!$N$20:$N$111,Analytica!$C129,'Vehicle data-proc2023'!$Q$20:$Q$111,RIGHT(Analytica!$D129,3))</f>
        <v>0.18166426728646726</v>
      </c>
      <c r="AF129" s="822"/>
      <c r="AG129" s="809">
        <v>1</v>
      </c>
      <c r="AH129" s="809"/>
      <c r="AI129" s="809"/>
      <c r="AJ129" s="809"/>
      <c r="AK129" s="809">
        <f>SUMIFS('Vehicle data-proc2023'!AD$20:AD$111,'Vehicle data-proc2023'!$N$20:$N$111,Analytica!$C129,'Vehicle data-proc2023'!$Q$20:$Q$111,RIGHT(Analytica!$D129,3))/1000</f>
        <v>6296.317327035631</v>
      </c>
      <c r="AL129" s="809">
        <f>SUMIFS('Vehicle data-proc2023'!AE$20:AE$111,'Vehicle data-proc2023'!$N$20:$N$111,Analytica!$C129,'Vehicle data-proc2023'!$Q$20:$Q$111,RIGHT(Analytica!$D129,3))/1000</f>
        <v>3689.5596792311267</v>
      </c>
      <c r="AM129" s="809">
        <f>SUMIFS('Vehicle data-proc2023'!AF$20:AF$111,'Vehicle data-proc2023'!$N$20:$N$111,Analytica!$C129,'Vehicle data-proc2023'!$Q$20:$Q$111,RIGHT(Analytica!$D129,3))/1000</f>
        <v>3288.7659792292047</v>
      </c>
      <c r="AN129" s="809">
        <f>SUMIFS('Vehicle data-proc2023'!AG$20:AG$111,'Vehicle data-proc2023'!$N$20:$N$111,Analytica!$C129,'Vehicle data-proc2023'!$Q$20:$Q$111,RIGHT(Analytica!$D129,3))/1000</f>
        <v>2887.9722792272814</v>
      </c>
      <c r="AO129" s="809">
        <f>SUMIFS('Vehicle data-proc2023'!AH$20:AH$111,'Vehicle data-proc2023'!$N$20:$N$111,Analytica!$C129,'Vehicle data-proc2023'!$Q$20:$Q$111,RIGHT(Analytica!$D129,3))/1000</f>
        <v>2842.5151832835504</v>
      </c>
      <c r="AP129" s="809">
        <f>SUMIFS('Vehicle data-proc2023'!AI$20:AI$111,'Vehicle data-proc2023'!$N$20:$N$111,Analytica!$C129,'Vehicle data-proc2023'!$Q$20:$Q$111,RIGHT(Analytica!$D129,3))/1000</f>
        <v>2797.058087339818</v>
      </c>
      <c r="AQ129" s="809">
        <f>SUMIFS('Vehicle data-proc2023'!AJ$20:AJ$111,'Vehicle data-proc2023'!$N$20:$N$111,Analytica!$C129,'Vehicle data-proc2023'!$Q$20:$Q$111,RIGHT(Analytica!$D129,3))/1000</f>
        <v>2786.0487090782703</v>
      </c>
      <c r="AR129" s="80"/>
      <c r="AT129" s="810">
        <f t="shared" si="98"/>
        <v>2.7E-2</v>
      </c>
      <c r="AU129" s="80">
        <f t="shared" si="99"/>
        <v>170.00056782996202</v>
      </c>
      <c r="AV129" s="80">
        <f t="shared" si="100"/>
        <v>99.618111339240414</v>
      </c>
      <c r="AW129" s="80">
        <f t="shared" si="101"/>
        <v>77.975251539136593</v>
      </c>
      <c r="AX129" s="80">
        <f t="shared" si="102"/>
        <v>75.520568358175083</v>
      </c>
      <c r="AY129" s="811">
        <f t="shared" si="103"/>
        <v>75.223315145113304</v>
      </c>
      <c r="BA129" s="164">
        <v>0</v>
      </c>
    </row>
    <row r="130" spans="1:54" s="163" customFormat="1" x14ac:dyDescent="0.25">
      <c r="B130" s="163" t="s">
        <v>848</v>
      </c>
      <c r="C130" s="163" t="s">
        <v>501</v>
      </c>
      <c r="D130" s="163" t="str">
        <f>LEFT(B130,7)</f>
        <v>TPPUMER</v>
      </c>
      <c r="F130" s="823">
        <v>1</v>
      </c>
      <c r="M130" s="824">
        <f>M129</f>
        <v>1</v>
      </c>
      <c r="N130" s="163">
        <v>1</v>
      </c>
      <c r="O130" s="163">
        <v>1</v>
      </c>
      <c r="P130" s="163">
        <f>N130</f>
        <v>1</v>
      </c>
      <c r="Q130" s="163">
        <f t="shared" ref="Q130:S131" si="108">P130</f>
        <v>1</v>
      </c>
      <c r="R130" s="163">
        <f t="shared" si="108"/>
        <v>1</v>
      </c>
      <c r="S130" s="163">
        <f t="shared" si="108"/>
        <v>1</v>
      </c>
      <c r="Z130" s="825">
        <f>X42</f>
        <v>7.0026980278615358</v>
      </c>
      <c r="AA130" s="825">
        <f>Z130</f>
        <v>7.0026980278615358</v>
      </c>
      <c r="AB130" s="825">
        <f>AA130</f>
        <v>7.0026980278615358</v>
      </c>
      <c r="AC130" s="825">
        <f>AB130</f>
        <v>7.0026980278615358</v>
      </c>
      <c r="AD130" s="825">
        <f>AC130</f>
        <v>7.0026980278615358</v>
      </c>
      <c r="AE130" s="825">
        <f>AD130</f>
        <v>7.0026980278615358</v>
      </c>
      <c r="AF130" s="825"/>
      <c r="AK130" s="163">
        <v>1E-3</v>
      </c>
      <c r="AL130" s="163">
        <v>1E-3</v>
      </c>
      <c r="AM130" s="163">
        <v>1E-3</v>
      </c>
      <c r="AN130" s="163">
        <v>1E-3</v>
      </c>
      <c r="AO130" s="163">
        <v>1E-3</v>
      </c>
      <c r="AP130" s="163">
        <v>1E-3</v>
      </c>
      <c r="AQ130" s="163">
        <v>1E-3</v>
      </c>
      <c r="AR130" s="80"/>
      <c r="AS130" s="61"/>
      <c r="AT130" s="826">
        <f t="shared" si="98"/>
        <v>2.0250000000000001E-2</v>
      </c>
      <c r="AU130" s="163">
        <f t="shared" si="99"/>
        <v>2.0250000000000001E-5</v>
      </c>
      <c r="AV130" s="163">
        <f t="shared" si="100"/>
        <v>2.0250000000000001E-5</v>
      </c>
      <c r="AW130" s="163">
        <f t="shared" si="101"/>
        <v>2.0250000000000001E-5</v>
      </c>
      <c r="AX130" s="163">
        <f t="shared" si="102"/>
        <v>2.0250000000000001E-5</v>
      </c>
      <c r="AY130" s="827">
        <f t="shared" si="103"/>
        <v>2.0250000000000001E-5</v>
      </c>
      <c r="AZ130" s="61"/>
    </row>
    <row r="131" spans="1:54" s="163" customFormat="1" x14ac:dyDescent="0.25">
      <c r="B131" s="163" t="s">
        <v>849</v>
      </c>
      <c r="C131" s="163" t="s">
        <v>501</v>
      </c>
      <c r="D131" s="163" t="str">
        <f>LEFT(B131,7)</f>
        <v>TPPUGAT</v>
      </c>
      <c r="F131" s="823">
        <v>1</v>
      </c>
      <c r="M131" s="824">
        <f>M130</f>
        <v>1</v>
      </c>
      <c r="N131" s="163">
        <v>1</v>
      </c>
      <c r="O131" s="163">
        <v>1</v>
      </c>
      <c r="P131" s="163">
        <f>N131</f>
        <v>1</v>
      </c>
      <c r="Q131" s="163">
        <f t="shared" si="108"/>
        <v>1</v>
      </c>
      <c r="R131" s="163">
        <f t="shared" si="108"/>
        <v>1</v>
      </c>
      <c r="S131" s="163">
        <f t="shared" si="108"/>
        <v>1</v>
      </c>
      <c r="Z131" s="825">
        <f t="shared" ref="Z131:AE131" si="109">Z130</f>
        <v>7.0026980278615358</v>
      </c>
      <c r="AA131" s="825">
        <f t="shared" si="109"/>
        <v>7.0026980278615358</v>
      </c>
      <c r="AB131" s="825">
        <f t="shared" si="109"/>
        <v>7.0026980278615358</v>
      </c>
      <c r="AC131" s="825">
        <f t="shared" si="109"/>
        <v>7.0026980278615358</v>
      </c>
      <c r="AD131" s="825">
        <f t="shared" si="109"/>
        <v>7.0026980278615358</v>
      </c>
      <c r="AE131" s="825">
        <f t="shared" si="109"/>
        <v>7.0026980278615358</v>
      </c>
      <c r="AF131" s="825"/>
      <c r="AK131" s="163">
        <v>1E-3</v>
      </c>
      <c r="AL131" s="163">
        <v>1E-3</v>
      </c>
      <c r="AM131" s="163">
        <v>1E-3</v>
      </c>
      <c r="AN131" s="163">
        <v>1E-3</v>
      </c>
      <c r="AO131" s="163">
        <v>1E-3</v>
      </c>
      <c r="AP131" s="163">
        <v>1E-3</v>
      </c>
      <c r="AQ131" s="163">
        <v>1E-3</v>
      </c>
      <c r="AR131" s="80"/>
      <c r="AS131" s="61"/>
      <c r="AT131" s="826">
        <f t="shared" si="98"/>
        <v>2.0250000000000001E-2</v>
      </c>
      <c r="AU131" s="163">
        <f t="shared" si="99"/>
        <v>2.0250000000000001E-5</v>
      </c>
      <c r="AV131" s="163">
        <f t="shared" si="100"/>
        <v>2.0250000000000001E-5</v>
      </c>
      <c r="AW131" s="163">
        <f t="shared" si="101"/>
        <v>2.0250000000000001E-5</v>
      </c>
      <c r="AX131" s="163">
        <f t="shared" si="102"/>
        <v>2.0250000000000001E-5</v>
      </c>
      <c r="AY131" s="827">
        <f t="shared" si="103"/>
        <v>2.0250000000000001E-5</v>
      </c>
      <c r="AZ131" s="61"/>
    </row>
    <row r="132" spans="1:54" ht="15.75" thickBot="1" x14ac:dyDescent="0.3">
      <c r="F132" s="828"/>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29"/>
      <c r="AC132" s="829"/>
      <c r="AD132" s="829"/>
      <c r="AE132" s="829"/>
      <c r="AF132" s="829"/>
      <c r="AG132" s="830"/>
      <c r="AH132" s="830"/>
      <c r="AI132" s="830"/>
      <c r="AJ132" s="830"/>
      <c r="AK132" s="830"/>
      <c r="AL132" s="830"/>
      <c r="AM132" s="830"/>
      <c r="AN132" s="830"/>
      <c r="AO132" s="830"/>
      <c r="AP132" s="830"/>
      <c r="AQ132" s="830"/>
      <c r="AR132" s="830"/>
      <c r="AS132" s="830"/>
      <c r="AT132" s="830"/>
      <c r="AU132" s="830"/>
      <c r="AV132" s="830"/>
      <c r="AW132" s="830"/>
      <c r="AX132" s="830"/>
      <c r="AY132" s="831"/>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selection activeCell="L26" sqref="L26"/>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6.5" thickTop="1" x14ac:dyDescent="0.25">
      <c r="B1" s="887" t="s">
        <v>1359</v>
      </c>
      <c r="C1" s="888"/>
      <c r="D1" s="888"/>
      <c r="E1" s="888"/>
      <c r="F1" s="888"/>
      <c r="G1" s="888"/>
      <c r="H1" s="888"/>
      <c r="I1" s="888"/>
      <c r="J1" s="889"/>
      <c r="K1" s="935"/>
      <c r="L1" s="954" t="s">
        <v>1362</v>
      </c>
      <c r="M1" s="936"/>
      <c r="N1" s="936"/>
      <c r="O1" s="936"/>
      <c r="P1" s="936"/>
      <c r="Q1" s="936"/>
      <c r="R1" s="937"/>
    </row>
    <row r="2" spans="1:52" x14ac:dyDescent="0.2">
      <c r="B2" s="890">
        <v>13.7674</v>
      </c>
      <c r="C2" s="340" t="s">
        <v>846</v>
      </c>
      <c r="E2" s="340"/>
      <c r="J2" s="891"/>
      <c r="K2" s="908"/>
      <c r="R2" s="938"/>
    </row>
    <row r="3" spans="1:52" x14ac:dyDescent="0.2">
      <c r="B3" s="892" t="s">
        <v>832</v>
      </c>
      <c r="C3" s="474" t="s">
        <v>831</v>
      </c>
      <c r="D3" s="473">
        <v>0.08</v>
      </c>
      <c r="E3" s="531"/>
      <c r="F3" s="471"/>
      <c r="G3" s="471"/>
      <c r="H3" s="471"/>
      <c r="I3" s="471"/>
      <c r="J3" s="893"/>
      <c r="K3" s="939" t="s">
        <v>1361</v>
      </c>
      <c r="L3" s="940"/>
      <c r="M3" s="529"/>
      <c r="P3" s="471"/>
      <c r="Q3" s="471"/>
      <c r="R3" s="941"/>
      <c r="T3" s="471"/>
      <c r="U3" s="471"/>
      <c r="AB3" s="470" t="s">
        <v>816</v>
      </c>
      <c r="AC3" s="340" t="s">
        <v>834</v>
      </c>
      <c r="AI3" s="340" t="s">
        <v>845</v>
      </c>
      <c r="AO3" s="340" t="s">
        <v>844</v>
      </c>
    </row>
    <row r="4" spans="1:52" x14ac:dyDescent="0.2">
      <c r="B4" s="894" t="s">
        <v>681</v>
      </c>
      <c r="C4" s="369">
        <v>2010</v>
      </c>
      <c r="D4" s="369">
        <v>2020</v>
      </c>
      <c r="E4" s="528">
        <v>2025</v>
      </c>
      <c r="F4" s="369">
        <v>2030</v>
      </c>
      <c r="G4" s="527">
        <v>2035</v>
      </c>
      <c r="H4" s="369">
        <v>2040</v>
      </c>
      <c r="I4" s="527">
        <v>2045</v>
      </c>
      <c r="J4" s="895">
        <v>2050</v>
      </c>
      <c r="K4" s="942">
        <f t="shared" ref="K4:R4" si="0">C4</f>
        <v>2010</v>
      </c>
      <c r="L4" s="371">
        <f t="shared" si="0"/>
        <v>2020</v>
      </c>
      <c r="M4" s="371">
        <f t="shared" si="0"/>
        <v>2025</v>
      </c>
      <c r="N4" s="371">
        <f t="shared" si="0"/>
        <v>2030</v>
      </c>
      <c r="O4" s="371">
        <f t="shared" si="0"/>
        <v>2035</v>
      </c>
      <c r="P4" s="371">
        <f t="shared" si="0"/>
        <v>2040</v>
      </c>
      <c r="Q4" s="371">
        <f t="shared" si="0"/>
        <v>2045</v>
      </c>
      <c r="R4" s="943">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896" t="s">
        <v>791</v>
      </c>
      <c r="C5" s="466" t="s">
        <v>193</v>
      </c>
      <c r="D5" s="466" t="s">
        <v>193</v>
      </c>
      <c r="E5" s="526" t="s">
        <v>843</v>
      </c>
      <c r="F5" s="466" t="s">
        <v>193</v>
      </c>
      <c r="G5" s="525" t="s">
        <v>843</v>
      </c>
      <c r="H5" s="466" t="s">
        <v>193</v>
      </c>
      <c r="I5" s="525" t="s">
        <v>843</v>
      </c>
      <c r="J5" s="897" t="s">
        <v>193</v>
      </c>
      <c r="K5" s="908" t="s">
        <v>1360</v>
      </c>
      <c r="L5" s="340" t="s">
        <v>1360</v>
      </c>
      <c r="M5" s="340" t="s">
        <v>1360</v>
      </c>
      <c r="N5" s="340" t="s">
        <v>1360</v>
      </c>
      <c r="O5" s="340" t="s">
        <v>1360</v>
      </c>
      <c r="P5" s="340" t="s">
        <v>1360</v>
      </c>
      <c r="Q5" s="340" t="s">
        <v>1360</v>
      </c>
      <c r="R5" s="938" t="s">
        <v>1360</v>
      </c>
      <c r="S5" s="340" t="s">
        <v>841</v>
      </c>
      <c r="T5" s="340" t="s">
        <v>841</v>
      </c>
      <c r="AB5" s="465" t="s">
        <v>659</v>
      </c>
      <c r="AC5" s="464" t="s">
        <v>663</v>
      </c>
      <c r="AD5" s="464" t="s">
        <v>663</v>
      </c>
      <c r="AE5" s="464" t="s">
        <v>663</v>
      </c>
      <c r="AF5" s="464" t="s">
        <v>663</v>
      </c>
      <c r="AG5" s="464" t="s">
        <v>663</v>
      </c>
    </row>
    <row r="6" spans="1:52" ht="15" x14ac:dyDescent="0.2">
      <c r="A6" s="340" t="str">
        <f>B4</f>
        <v>Passenger Car</v>
      </c>
      <c r="B6" s="898"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899">
        <v>16343.977105662956</v>
      </c>
      <c r="K6" s="944">
        <f>VehicleCostData2023!AE3</f>
        <v>221973.27212134015</v>
      </c>
      <c r="L6" s="833">
        <f>VehicleCostData2023!AF3</f>
        <v>240363.2913501834</v>
      </c>
      <c r="M6" s="833">
        <f>VehicleCostData2023!AG3</f>
        <v>244456.53288726759</v>
      </c>
      <c r="N6" s="833">
        <f>VehicleCostData2023!AH3</f>
        <v>248549.77442435178</v>
      </c>
      <c r="O6" s="833">
        <f>VehicleCostData2023!AI3</f>
        <v>251273.34974387253</v>
      </c>
      <c r="P6" s="833">
        <f>VehicleCostData2023!AJ3</f>
        <v>253996.92506339328</v>
      </c>
      <c r="Q6" s="833">
        <f>VehicleCostData2023!AK3</f>
        <v>255584.76286578411</v>
      </c>
      <c r="R6" s="945">
        <f>VehicleCostData2023!AL3</f>
        <v>257172.600668175</v>
      </c>
      <c r="S6" s="348">
        <f t="shared" ref="S6:S18" si="5">C6/C$6</f>
        <v>1</v>
      </c>
      <c r="T6" s="348">
        <f t="shared" ref="T6:T18" si="6">D6/D$6</f>
        <v>1</v>
      </c>
      <c r="U6" s="348">
        <f t="shared" ref="U6:U18" si="7">E6/E$6</f>
        <v>1</v>
      </c>
      <c r="V6" s="348">
        <f t="shared" ref="V6:V18" si="8">F6/F$6</f>
        <v>1</v>
      </c>
      <c r="W6" s="348">
        <f t="shared" ref="W6:W18" si="9">G6/G$6</f>
        <v>1</v>
      </c>
      <c r="X6" s="348">
        <f t="shared" ref="X6:X18" si="10">H6/H$6</f>
        <v>1</v>
      </c>
      <c r="Y6" s="348">
        <f t="shared" ref="Y6:Y18" si="11">I6/I$6</f>
        <v>1</v>
      </c>
      <c r="Z6" s="348">
        <f t="shared" ref="Z6:Z18" si="12">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13">AC6/AI6</f>
        <v>2.7731584934931535</v>
      </c>
      <c r="AP6" s="522">
        <f t="shared" ref="AP6:AP18" si="14">AD6/AJ6</f>
        <v>2.0718600724531742</v>
      </c>
      <c r="AQ6" s="522">
        <f t="shared" ref="AQ6:AQ18" si="15">AE6/AK6</f>
        <v>1.6924435330873051</v>
      </c>
      <c r="AR6" s="522">
        <f t="shared" ref="AR6:AR18" si="16">AF6/AL6</f>
        <v>1.5062933039675674</v>
      </c>
      <c r="AS6" s="522">
        <f t="shared" ref="AS6:AS18" si="17">AG6/AM6</f>
        <v>1.3837225479656539</v>
      </c>
    </row>
    <row r="7" spans="1:52" ht="15" x14ac:dyDescent="0.2">
      <c r="A7" s="340" t="str">
        <f t="shared" ref="A7:A20" si="18">A6</f>
        <v>Passenger Car</v>
      </c>
      <c r="B7" s="898"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899">
        <v>17050.306384026513</v>
      </c>
      <c r="K7" s="946">
        <f>VehicleCostData2023!AE4</f>
        <v>328443.28314829268</v>
      </c>
      <c r="L7" s="836">
        <f>VehicleCostData2023!AF4</f>
        <v>360544.93702527508</v>
      </c>
      <c r="M7" s="836">
        <f>VehicleCostData2023!AG4</f>
        <v>366150.82503153011</v>
      </c>
      <c r="N7" s="836">
        <f>VehicleCostData2023!AH4</f>
        <v>371756.71303778514</v>
      </c>
      <c r="O7" s="836">
        <f>VehicleCostData2023!AI4</f>
        <v>375847.00393272919</v>
      </c>
      <c r="P7" s="836">
        <f>VehicleCostData2023!AJ4</f>
        <v>379937.29482767323</v>
      </c>
      <c r="Q7" s="836">
        <f>VehicleCostData2023!AK4</f>
        <v>382268.18700936862</v>
      </c>
      <c r="R7" s="947">
        <f>VehicleCostData2023!AL4</f>
        <v>384599.07919106411</v>
      </c>
      <c r="S7" s="348">
        <f t="shared" si="5"/>
        <v>1.03216849618385</v>
      </c>
      <c r="T7" s="348">
        <f t="shared" si="6"/>
        <v>1.0463624782442891</v>
      </c>
      <c r="U7" s="348">
        <f t="shared" si="7"/>
        <v>1.0448387426756798</v>
      </c>
      <c r="V7" s="348">
        <f t="shared" si="8"/>
        <v>1.0433651943803071</v>
      </c>
      <c r="W7" s="348">
        <f t="shared" si="9"/>
        <v>1.0434113629018251</v>
      </c>
      <c r="X7" s="348">
        <f t="shared" si="10"/>
        <v>1.0434565413054853</v>
      </c>
      <c r="Y7" s="348">
        <f t="shared" si="11"/>
        <v>1.0433357686066302</v>
      </c>
      <c r="Z7" s="348">
        <f t="shared" si="12"/>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13"/>
        <v>2.2264912113239048</v>
      </c>
      <c r="AP7" s="522">
        <f t="shared" si="14"/>
        <v>1.7539919646296771</v>
      </c>
      <c r="AQ7" s="522">
        <f t="shared" si="15"/>
        <v>1.4571673890360914</v>
      </c>
      <c r="AR7" s="522">
        <f t="shared" si="16"/>
        <v>1.3029113464752489</v>
      </c>
      <c r="AS7" s="522">
        <f t="shared" si="17"/>
        <v>1.195582159057512</v>
      </c>
    </row>
    <row r="8" spans="1:52" ht="15" x14ac:dyDescent="0.2">
      <c r="A8" s="340" t="str">
        <f t="shared" si="18"/>
        <v>Passenger Car</v>
      </c>
      <c r="B8" s="898"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899">
        <v>16272.83632294774</v>
      </c>
      <c r="K8" s="946">
        <f>VehicleCostData2023!AE5</f>
        <v>463914.82511277962</v>
      </c>
      <c r="L8" s="836">
        <f>VehicleCostData2023!AF5</f>
        <v>440435.38283569075</v>
      </c>
      <c r="M8" s="836">
        <f>VehicleCostData2023!AG5</f>
        <v>436635.14806228853</v>
      </c>
      <c r="N8" s="836">
        <f>VehicleCostData2023!AH5</f>
        <v>432834.91328888631</v>
      </c>
      <c r="O8" s="836">
        <f>VehicleCostData2023!AI5</f>
        <v>433440.12513994251</v>
      </c>
      <c r="P8" s="836">
        <f>VehicleCostData2023!AJ5</f>
        <v>434045.33699099865</v>
      </c>
      <c r="Q8" s="836">
        <f>VehicleCostData2023!AK5</f>
        <v>434235.41570358025</v>
      </c>
      <c r="R8" s="947">
        <f>VehicleCostData2023!AL5</f>
        <v>434425.49441616191</v>
      </c>
      <c r="S8" s="348">
        <f t="shared" si="5"/>
        <v>1.2318348052009125</v>
      </c>
      <c r="T8" s="348">
        <f t="shared" si="6"/>
        <v>1.0800129488351085</v>
      </c>
      <c r="U8" s="348">
        <f t="shared" si="7"/>
        <v>1.0527662364179429</v>
      </c>
      <c r="V8" s="348">
        <f t="shared" si="8"/>
        <v>1.0264169488749155</v>
      </c>
      <c r="W8" s="348">
        <f t="shared" si="9"/>
        <v>1.0167111520310887</v>
      </c>
      <c r="X8" s="348">
        <f t="shared" si="10"/>
        <v>1.007213503130262</v>
      </c>
      <c r="Y8" s="348">
        <f t="shared" si="11"/>
        <v>1.0013944627678804</v>
      </c>
      <c r="Z8" s="348">
        <f t="shared" si="12"/>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13"/>
        <v>2.118957461890536</v>
      </c>
      <c r="AP8" s="522">
        <f t="shared" si="14"/>
        <v>1.6900840244838968</v>
      </c>
      <c r="AQ8" s="522">
        <f t="shared" si="15"/>
        <v>1.4497532132450688</v>
      </c>
      <c r="AR8" s="522">
        <f t="shared" si="16"/>
        <v>1.3237068989033129</v>
      </c>
      <c r="AS8" s="522">
        <f t="shared" si="17"/>
        <v>1.2074894913527994</v>
      </c>
    </row>
    <row r="9" spans="1:52" ht="15" x14ac:dyDescent="0.2">
      <c r="A9" s="340" t="str">
        <f t="shared" si="18"/>
        <v>Passenger Car</v>
      </c>
      <c r="B9" s="898"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899">
        <v>16823.104713489789</v>
      </c>
      <c r="K9" s="946">
        <f>VehicleCostData2023!AE6</f>
        <v>676856.89554145606</v>
      </c>
      <c r="L9" s="836">
        <f>VehicleCostData2023!AF6</f>
        <v>660653.07425353606</v>
      </c>
      <c r="M9" s="836">
        <f>VehicleCostData2023!AG6</f>
        <v>655423.85807417962</v>
      </c>
      <c r="N9" s="836">
        <f>VehicleCostData2023!AH6</f>
        <v>650194.64189482306</v>
      </c>
      <c r="O9" s="836">
        <f>VehicleCostData2023!AI6</f>
        <v>651496.70695354277</v>
      </c>
      <c r="P9" s="836">
        <f>VehicleCostData2023!AJ6</f>
        <v>652798.77201226226</v>
      </c>
      <c r="Q9" s="836">
        <f>VehicleCostData2023!AK6</f>
        <v>653227.5665734408</v>
      </c>
      <c r="R9" s="947">
        <f>VehicleCostData2023!AL6</f>
        <v>653656.36113461934</v>
      </c>
      <c r="S9" s="348">
        <f t="shared" si="5"/>
        <v>1.2348658523958762</v>
      </c>
      <c r="T9" s="348">
        <f t="shared" si="6"/>
        <v>1.1130865260684899</v>
      </c>
      <c r="U9" s="348">
        <f t="shared" si="7"/>
        <v>1.08578592058005</v>
      </c>
      <c r="V9" s="348">
        <f t="shared" si="8"/>
        <v>1.0593845150416537</v>
      </c>
      <c r="W9" s="348">
        <f t="shared" si="9"/>
        <v>1.050000251580308</v>
      </c>
      <c r="X9" s="348">
        <f t="shared" si="10"/>
        <v>1.040817240542383</v>
      </c>
      <c r="Y9" s="348">
        <f t="shared" si="11"/>
        <v>1.0350305116788574</v>
      </c>
      <c r="Z9" s="348">
        <f t="shared" si="12"/>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13"/>
        <v>1.7693016047311396</v>
      </c>
      <c r="AP9" s="522">
        <f t="shared" si="14"/>
        <v>1.4910156121909575</v>
      </c>
      <c r="AQ9" s="522">
        <f t="shared" si="15"/>
        <v>1.3037709765268612</v>
      </c>
      <c r="AR9" s="522">
        <f t="shared" si="16"/>
        <v>1.1983619127235638</v>
      </c>
      <c r="AS9" s="522">
        <f t="shared" si="17"/>
        <v>1.0928745831009152</v>
      </c>
    </row>
    <row r="10" spans="1:52" ht="15" x14ac:dyDescent="0.2">
      <c r="A10" s="340" t="str">
        <f t="shared" si="18"/>
        <v>Passenger Car</v>
      </c>
      <c r="B10" s="898"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899">
        <v>17404.89408721682</v>
      </c>
      <c r="K10" s="946">
        <f>VehicleCostData2023!AE7</f>
        <v>721264.32330352848</v>
      </c>
      <c r="L10" s="836">
        <f>VehicleCostData2023!AF7</f>
        <v>585779.0591714686</v>
      </c>
      <c r="M10" s="836">
        <f>VehicleCostData2023!AG7</f>
        <v>567630.06516271632</v>
      </c>
      <c r="N10" s="836">
        <f>VehicleCostData2023!AH7</f>
        <v>549481.07115396392</v>
      </c>
      <c r="O10" s="836">
        <f>VehicleCostData2023!AI7</f>
        <v>547663.25131344562</v>
      </c>
      <c r="P10" s="836">
        <f>VehicleCostData2023!AJ7</f>
        <v>545845.43147292722</v>
      </c>
      <c r="Q10" s="836">
        <f>VehicleCostData2023!AK7</f>
        <v>543742.77948744816</v>
      </c>
      <c r="R10" s="947">
        <f>VehicleCostData2023!AL7</f>
        <v>541640.12750196934</v>
      </c>
      <c r="S10" s="348">
        <f t="shared" si="5"/>
        <v>1.6429383656586143</v>
      </c>
      <c r="T10" s="348">
        <f t="shared" si="6"/>
        <v>1.2322340475980915</v>
      </c>
      <c r="U10" s="348">
        <f t="shared" si="7"/>
        <v>1.1740625818589094</v>
      </c>
      <c r="V10" s="348">
        <f t="shared" si="8"/>
        <v>1.1178071094887672</v>
      </c>
      <c r="W10" s="348">
        <f t="shared" si="9"/>
        <v>1.1020331930457394</v>
      </c>
      <c r="X10" s="348">
        <f t="shared" si="10"/>
        <v>1.0865975598280357</v>
      </c>
      <c r="Y10" s="348">
        <f t="shared" si="11"/>
        <v>1.0756873180423199</v>
      </c>
      <c r="Z10" s="348">
        <f t="shared" si="12"/>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13"/>
        <v>1.6844344849453972</v>
      </c>
      <c r="AP10" s="522">
        <f t="shared" si="14"/>
        <v>1.2673506147472593</v>
      </c>
      <c r="AQ10" s="522">
        <f t="shared" si="15"/>
        <v>1.1322926068149861</v>
      </c>
      <c r="AR10" s="522">
        <f t="shared" si="16"/>
        <v>1.0607504057135009</v>
      </c>
      <c r="AS10" s="522">
        <f t="shared" si="17"/>
        <v>1.0016049035183423</v>
      </c>
    </row>
    <row r="11" spans="1:52" ht="15" x14ac:dyDescent="0.2">
      <c r="A11" s="340" t="str">
        <f t="shared" si="18"/>
        <v>Passenger Car</v>
      </c>
      <c r="B11" s="898"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899">
        <v>17974.05843394086</v>
      </c>
      <c r="K11" s="946">
        <f>VehicleCostData2023!AE8</f>
        <v>1063174.3490159395</v>
      </c>
      <c r="L11" s="836">
        <f>VehicleCostData2023!AF8</f>
        <v>878668.58875720296</v>
      </c>
      <c r="M11" s="836">
        <f>VehicleCostData2023!AG8</f>
        <v>851972.15227518079</v>
      </c>
      <c r="N11" s="836">
        <f>VehicleCostData2023!AH8</f>
        <v>825275.71579315851</v>
      </c>
      <c r="O11" s="836">
        <f>VehicleCostData2023!AI8</f>
        <v>823001.35615894245</v>
      </c>
      <c r="P11" s="836">
        <f>VehicleCostData2023!AJ8</f>
        <v>820726.99652472639</v>
      </c>
      <c r="Q11" s="836">
        <f>VehicleCostData2023!AK8</f>
        <v>817773.88471298222</v>
      </c>
      <c r="R11" s="947">
        <f>VehicleCostData2023!AL8</f>
        <v>814820.77290123794</v>
      </c>
      <c r="S11" s="348">
        <f t="shared" si="5"/>
        <v>1.6624738174911204</v>
      </c>
      <c r="T11" s="348">
        <f t="shared" si="6"/>
        <v>1.2688432315325302</v>
      </c>
      <c r="U11" s="348">
        <f t="shared" si="7"/>
        <v>1.2096918649167219</v>
      </c>
      <c r="V11" s="348">
        <f t="shared" si="8"/>
        <v>1.1524887666617909</v>
      </c>
      <c r="W11" s="348">
        <f t="shared" si="9"/>
        <v>1.136855140411553</v>
      </c>
      <c r="X11" s="348">
        <f t="shared" si="10"/>
        <v>1.1215567887604005</v>
      </c>
      <c r="Y11" s="348">
        <f t="shared" si="11"/>
        <v>1.1105785644095354</v>
      </c>
      <c r="Z11" s="348">
        <f t="shared" si="12"/>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13"/>
        <v>1.4414185748830934</v>
      </c>
      <c r="AP11" s="522">
        <f t="shared" si="14"/>
        <v>1.1518364154031082</v>
      </c>
      <c r="AQ11" s="522">
        <f t="shared" si="15"/>
        <v>1.0479227946099969</v>
      </c>
      <c r="AR11" s="522">
        <f t="shared" si="16"/>
        <v>0.98974342351285993</v>
      </c>
      <c r="AS11" s="522">
        <f t="shared" si="17"/>
        <v>0.93761813544156292</v>
      </c>
    </row>
    <row r="12" spans="1:52" ht="15" x14ac:dyDescent="0.2">
      <c r="A12" s="340" t="str">
        <f t="shared" si="18"/>
        <v>Passenger Car</v>
      </c>
      <c r="B12" s="898"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899">
        <v>18426.411995766433</v>
      </c>
      <c r="K12" s="946">
        <f>VehicleCostData2023!AE9</f>
        <v>1128672.0283701362</v>
      </c>
      <c r="L12" s="836">
        <f>VehicleCostData2023!AF9</f>
        <v>779086.14869805332</v>
      </c>
      <c r="M12" s="836">
        <f>VehicleCostData2023!AG9</f>
        <v>733931.35749491747</v>
      </c>
      <c r="N12" s="836">
        <f>VehicleCostData2023!AH9</f>
        <v>688776.56629178161</v>
      </c>
      <c r="O12" s="836">
        <f>VehicleCostData2023!AI9</f>
        <v>683601.77296472352</v>
      </c>
      <c r="P12" s="836">
        <f>VehicleCostData2023!AJ9</f>
        <v>678426.97963766579</v>
      </c>
      <c r="Q12" s="836">
        <f>VehicleCostData2023!AK9</f>
        <v>673194.4144868853</v>
      </c>
      <c r="R12" s="947">
        <f>VehicleCostData2023!AL9</f>
        <v>667961.8493361047</v>
      </c>
      <c r="S12" s="348">
        <f t="shared" si="5"/>
        <v>2.2071057816017641</v>
      </c>
      <c r="T12" s="348">
        <f t="shared" si="6"/>
        <v>1.406932983533836</v>
      </c>
      <c r="U12" s="348">
        <f t="shared" si="7"/>
        <v>1.3031963829485218</v>
      </c>
      <c r="V12" s="348">
        <f t="shared" si="8"/>
        <v>1.2028765544235738</v>
      </c>
      <c r="W12" s="348">
        <f t="shared" si="9"/>
        <v>1.1808991807825731</v>
      </c>
      <c r="X12" s="348">
        <f t="shared" si="10"/>
        <v>1.1593931280634426</v>
      </c>
      <c r="Y12" s="348">
        <f t="shared" si="11"/>
        <v>1.1433037165133588</v>
      </c>
      <c r="Z12" s="348">
        <f t="shared" si="12"/>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13"/>
        <v>1.2434190944946621</v>
      </c>
      <c r="AP12" s="522">
        <f t="shared" si="14"/>
        <v>1.055894846672224</v>
      </c>
      <c r="AQ12" s="522">
        <f t="shared" si="15"/>
        <v>0.94796987980160197</v>
      </c>
      <c r="AR12" s="522">
        <f t="shared" si="16"/>
        <v>0.89041135121688042</v>
      </c>
      <c r="AS12" s="522">
        <f t="shared" si="17"/>
        <v>0.8407508847914158</v>
      </c>
    </row>
    <row r="13" spans="1:52" ht="15" x14ac:dyDescent="0.2">
      <c r="A13" s="340" t="str">
        <f t="shared" si="18"/>
        <v>Passenger Car</v>
      </c>
      <c r="B13" s="898"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899">
        <v>18794.951675055818</v>
      </c>
      <c r="K13" s="946">
        <f>VehicleCostData2023!AE10</f>
        <v>1667059.1423728813</v>
      </c>
      <c r="L13" s="836">
        <f>VehicleCostData2023!AF10</f>
        <v>1168629.22304708</v>
      </c>
      <c r="M13" s="836">
        <f>VehicleCostData2023!AG10</f>
        <v>1102174.5179628425</v>
      </c>
      <c r="N13" s="836">
        <f>VehicleCostData2023!AH10</f>
        <v>1035719.8128786053</v>
      </c>
      <c r="O13" s="836">
        <f>VehicleCostData2023!AI10</f>
        <v>1028519.3484299103</v>
      </c>
      <c r="P13" s="836">
        <f>VehicleCostData2023!AJ10</f>
        <v>1021318.8839812155</v>
      </c>
      <c r="Q13" s="836">
        <f>VehicleCostData2023!AK10</f>
        <v>1013721.5617023808</v>
      </c>
      <c r="R13" s="947">
        <f>VehicleCostData2023!AL10</f>
        <v>1006124.2394235462</v>
      </c>
      <c r="S13" s="348">
        <f t="shared" si="5"/>
        <v>2.2075313317886938</v>
      </c>
      <c r="T13" s="348">
        <f t="shared" si="6"/>
        <v>1.4291083366119961</v>
      </c>
      <c r="U13" s="348">
        <f t="shared" si="7"/>
        <v>1.3252727581755961</v>
      </c>
      <c r="V13" s="348">
        <f t="shared" si="8"/>
        <v>1.2248572118327066</v>
      </c>
      <c r="W13" s="348">
        <f t="shared" si="9"/>
        <v>1.2031577957078528</v>
      </c>
      <c r="X13" s="348">
        <f t="shared" si="10"/>
        <v>1.1819237395017534</v>
      </c>
      <c r="Y13" s="348">
        <f t="shared" si="11"/>
        <v>1.1658435590218994</v>
      </c>
      <c r="Z13" s="348">
        <f t="shared" si="12"/>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13"/>
        <v>1.108618622175594</v>
      </c>
      <c r="AP13" s="522">
        <f t="shared" si="14"/>
        <v>0.97907828585860557</v>
      </c>
      <c r="AQ13" s="522">
        <f t="shared" si="15"/>
        <v>0.89250158441628213</v>
      </c>
      <c r="AR13" s="522">
        <f t="shared" si="16"/>
        <v>0.84434006239661141</v>
      </c>
      <c r="AS13" s="522">
        <f t="shared" si="17"/>
        <v>0.79982197855278259</v>
      </c>
    </row>
    <row r="14" spans="1:52" ht="15" x14ac:dyDescent="0.2">
      <c r="A14" s="340" t="str">
        <f t="shared" si="18"/>
        <v>Passenger Car</v>
      </c>
      <c r="B14" s="898"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899">
        <v>20788.248664025326</v>
      </c>
      <c r="K14" s="946">
        <f>VehicleCostData2023!AE11</f>
        <v>2159095.7260271595</v>
      </c>
      <c r="L14" s="836">
        <f>VehicleCostData2023!AF11</f>
        <v>1465847.8295627148</v>
      </c>
      <c r="M14" s="836">
        <f>VehicleCostData2023!AG11</f>
        <v>1339851.5427458035</v>
      </c>
      <c r="N14" s="836">
        <f>VehicleCostData2023!AH11</f>
        <v>1213855.2559288922</v>
      </c>
      <c r="O14" s="836">
        <f>VehicleCostData2023!AI11</f>
        <v>1222028.740307997</v>
      </c>
      <c r="P14" s="836">
        <f>VehicleCostData2023!AJ11</f>
        <v>1230202.2246871018</v>
      </c>
      <c r="Q14" s="836">
        <f>VehicleCostData2023!AK11</f>
        <v>1234383.0782987091</v>
      </c>
      <c r="R14" s="947">
        <f>VehicleCostData2023!AL11</f>
        <v>1238563.9319103162</v>
      </c>
      <c r="S14" s="348">
        <f t="shared" si="5"/>
        <v>2.5688434560120985</v>
      </c>
      <c r="T14" s="348">
        <f t="shared" si="6"/>
        <v>1.6105980604355346</v>
      </c>
      <c r="U14" s="348">
        <f t="shared" si="7"/>
        <v>1.4475096193238455</v>
      </c>
      <c r="V14" s="348">
        <f t="shared" si="8"/>
        <v>1.2897928216419099</v>
      </c>
      <c r="W14" s="348">
        <f t="shared" si="9"/>
        <v>1.2844033106091091</v>
      </c>
      <c r="X14" s="348">
        <f t="shared" si="10"/>
        <v>1.2791293815994336</v>
      </c>
      <c r="Y14" s="348">
        <f t="shared" si="11"/>
        <v>1.2755028290634409</v>
      </c>
      <c r="Z14" s="348">
        <f t="shared" si="12"/>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13"/>
        <v>0.81642659699157527</v>
      </c>
      <c r="AP14" s="522">
        <f t="shared" si="14"/>
        <v>0.73942400256939955</v>
      </c>
      <c r="AQ14" s="522">
        <f t="shared" si="15"/>
        <v>0.67814689093781944</v>
      </c>
      <c r="AR14" s="522">
        <f t="shared" si="16"/>
        <v>0.6447439373030428</v>
      </c>
      <c r="AS14" s="522">
        <f t="shared" si="17"/>
        <v>0.60961697276991689</v>
      </c>
      <c r="AZ14" s="340">
        <f>AT14/3.6</f>
        <v>0</v>
      </c>
    </row>
    <row r="15" spans="1:52" ht="15" x14ac:dyDescent="0.2">
      <c r="A15" s="340" t="str">
        <f t="shared" si="18"/>
        <v>Passenger Car</v>
      </c>
      <c r="B15" s="898"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899">
        <v>19695.247728715745</v>
      </c>
      <c r="K15" s="946">
        <f>VehicleCostData2023!AE12</f>
        <v>5561617.6018542452</v>
      </c>
      <c r="L15" s="836">
        <f>VehicleCostData2023!AF12</f>
        <v>2198771.7443440724</v>
      </c>
      <c r="M15" s="836">
        <f>VehicleCostData2023!AG12</f>
        <v>1677376.0685646401</v>
      </c>
      <c r="N15" s="836">
        <f>VehicleCostData2023!AH12</f>
        <v>1155980.3927852078</v>
      </c>
      <c r="O15" s="836">
        <f>VehicleCostData2023!AI12</f>
        <v>1094147.4529170424</v>
      </c>
      <c r="P15" s="836">
        <f>VehicleCostData2023!AJ12</f>
        <v>1032314.5130488771</v>
      </c>
      <c r="Q15" s="836">
        <f>VehicleCostData2023!AK12</f>
        <v>1016678.8698456982</v>
      </c>
      <c r="R15" s="947">
        <f>VehicleCostData2023!AL12</f>
        <v>1001043.2266425194</v>
      </c>
      <c r="S15" s="348">
        <f t="shared" si="5"/>
        <v>7.7566823857372587</v>
      </c>
      <c r="T15" s="348">
        <f t="shared" si="6"/>
        <v>2.8319629866194975</v>
      </c>
      <c r="U15" s="348">
        <f t="shared" si="7"/>
        <v>2.1242438152189673</v>
      </c>
      <c r="V15" s="348">
        <f t="shared" si="8"/>
        <v>1.4398347877578286</v>
      </c>
      <c r="W15" s="348">
        <f t="shared" si="9"/>
        <v>1.3480468691087808</v>
      </c>
      <c r="X15" s="348">
        <f t="shared" si="10"/>
        <v>1.2582274098007296</v>
      </c>
      <c r="Y15" s="348">
        <f t="shared" si="11"/>
        <v>1.2314716158658376</v>
      </c>
      <c r="Z15" s="348">
        <f t="shared" si="12"/>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13"/>
        <v>1.0752270792303171</v>
      </c>
      <c r="AP15" s="522">
        <f t="shared" si="14"/>
        <v>0.94154852321991489</v>
      </c>
      <c r="AQ15" s="522">
        <f t="shared" si="15"/>
        <v>0.83643614753341577</v>
      </c>
      <c r="AR15" s="522">
        <f t="shared" si="16"/>
        <v>0.77157920697300109</v>
      </c>
      <c r="AS15" s="522">
        <f t="shared" si="17"/>
        <v>0.70892116582680575</v>
      </c>
    </row>
    <row r="16" spans="1:52" ht="15" x14ac:dyDescent="0.2">
      <c r="A16" s="340" t="str">
        <f t="shared" si="18"/>
        <v>Passenger Car</v>
      </c>
      <c r="B16" s="898"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899">
        <v>21086.801953962866</v>
      </c>
      <c r="K16" s="946">
        <f>VehicleCostData2023!AE13</f>
        <v>6115938.0643457975</v>
      </c>
      <c r="L16" s="836">
        <f>VehicleCostData2023!AF13</f>
        <v>2418648.9187784796</v>
      </c>
      <c r="M16" s="836">
        <f>VehicleCostData2023!AG13</f>
        <v>1853513.6105605534</v>
      </c>
      <c r="N16" s="836">
        <f>VehicleCostData2023!AH13</f>
        <v>1288378.3023426272</v>
      </c>
      <c r="O16" s="836">
        <f>VehicleCostData2023!AI13</f>
        <v>1220281.6895284266</v>
      </c>
      <c r="P16" s="836">
        <f>VehicleCostData2023!AJ13</f>
        <v>1152185.076714226</v>
      </c>
      <c r="Q16" s="836">
        <f>VehicleCostData2023!AK13</f>
        <v>1132373.2949292823</v>
      </c>
      <c r="R16" s="947">
        <f>VehicleCostData2023!AL13</f>
        <v>1112561.5131443387</v>
      </c>
      <c r="S16" s="348">
        <f t="shared" si="5"/>
        <v>8.2170519550868644</v>
      </c>
      <c r="T16" s="348">
        <f t="shared" si="6"/>
        <v>3.0009470219450662</v>
      </c>
      <c r="U16" s="348">
        <f t="shared" si="7"/>
        <v>2.2612457825531411</v>
      </c>
      <c r="V16" s="348">
        <f t="shared" si="8"/>
        <v>1.5459080803651746</v>
      </c>
      <c r="W16" s="348">
        <f t="shared" si="9"/>
        <v>1.4483292564698458</v>
      </c>
      <c r="X16" s="348">
        <f t="shared" si="10"/>
        <v>1.3528430821324031</v>
      </c>
      <c r="Y16" s="348">
        <f t="shared" si="11"/>
        <v>1.3213208802524739</v>
      </c>
      <c r="Z16" s="348">
        <f t="shared" si="12"/>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13"/>
        <v>0.95703509297619893</v>
      </c>
      <c r="AP16" s="522">
        <f t="shared" si="14"/>
        <v>0.80694213117446689</v>
      </c>
      <c r="AQ16" s="522">
        <f t="shared" si="15"/>
        <v>0.72463129273182003</v>
      </c>
      <c r="AR16" s="522">
        <f t="shared" si="16"/>
        <v>0.67545405705887274</v>
      </c>
      <c r="AS16" s="522">
        <f t="shared" si="17"/>
        <v>0.62690006806868404</v>
      </c>
    </row>
    <row r="17" spans="1:45" ht="15" x14ac:dyDescent="0.2">
      <c r="A17" s="340" t="str">
        <f t="shared" si="18"/>
        <v>Passenger Car</v>
      </c>
      <c r="B17" s="898"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899">
        <v>19824.232277531381</v>
      </c>
      <c r="K17" s="946">
        <f>VehicleCostData2023!AE14</f>
        <v>3996823.4572915584</v>
      </c>
      <c r="L17" s="836">
        <f>VehicleCostData2023!AF14</f>
        <v>1759017.3954752579</v>
      </c>
      <c r="M17" s="836">
        <f>VehicleCostData2023!AG14</f>
        <v>1431189.2161791187</v>
      </c>
      <c r="N17" s="836">
        <f>VehicleCostData2023!AH14</f>
        <v>1103361.0368829796</v>
      </c>
      <c r="O17" s="836">
        <f>VehicleCostData2023!AI14</f>
        <v>1063726.1527862493</v>
      </c>
      <c r="P17" s="836">
        <f>VehicleCostData2023!AJ14</f>
        <v>1024091.2686895197</v>
      </c>
      <c r="Q17" s="836">
        <f>VehicleCostData2023!AK14</f>
        <v>1008088.1810833489</v>
      </c>
      <c r="R17" s="947">
        <f>VehicleCostData2023!AL14</f>
        <v>992085.09347717813</v>
      </c>
      <c r="S17" s="348">
        <f t="shared" si="5"/>
        <v>5.6614631694525608</v>
      </c>
      <c r="T17" s="348">
        <f t="shared" si="6"/>
        <v>2.3009988251312934</v>
      </c>
      <c r="U17" s="348">
        <f t="shared" si="7"/>
        <v>1.8408135911581427</v>
      </c>
      <c r="V17" s="348">
        <f t="shared" si="8"/>
        <v>1.3957854766699263</v>
      </c>
      <c r="W17" s="348">
        <f t="shared" si="9"/>
        <v>1.3310605511694735</v>
      </c>
      <c r="X17" s="348">
        <f t="shared" si="10"/>
        <v>1.2677236992420131</v>
      </c>
      <c r="Y17" s="348">
        <f t="shared" si="11"/>
        <v>1.2401607119950833</v>
      </c>
      <c r="Z17" s="348">
        <f t="shared" si="12"/>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13"/>
        <v>0.83884310672208084</v>
      </c>
      <c r="AP17" s="522">
        <f t="shared" si="14"/>
        <v>0.74746488817764112</v>
      </c>
      <c r="AQ17" s="522">
        <f t="shared" si="15"/>
        <v>0.67522914758692887</v>
      </c>
      <c r="AR17" s="522">
        <f t="shared" si="16"/>
        <v>0.63298015360844395</v>
      </c>
      <c r="AS17" s="522">
        <f t="shared" si="17"/>
        <v>0.59065818766393241</v>
      </c>
    </row>
    <row r="18" spans="1:45" ht="15" x14ac:dyDescent="0.2">
      <c r="A18" s="340" t="str">
        <f t="shared" si="18"/>
        <v>Passenger Car</v>
      </c>
      <c r="B18" s="898"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900">
        <v>16814.682751576893</v>
      </c>
      <c r="K18" s="946">
        <f>VehicleCostData2023!AE15</f>
        <v>376679.62430658605</v>
      </c>
      <c r="L18" s="836">
        <f>VehicleCostData2023!AF15</f>
        <v>396599.43072780268</v>
      </c>
      <c r="M18" s="836">
        <f>VehicleCostData2023!AG15</f>
        <v>400607.99761902145</v>
      </c>
      <c r="N18" s="836">
        <f>VehicleCostData2023!AH15</f>
        <v>404616.56451024022</v>
      </c>
      <c r="O18" s="836">
        <f>VehicleCostData2023!AI15</f>
        <v>407703.15451742715</v>
      </c>
      <c r="P18" s="836">
        <f>VehicleCostData2023!AJ15</f>
        <v>410789.74452461401</v>
      </c>
      <c r="Q18" s="836">
        <f>VehicleCostData2023!AK15</f>
        <v>412500.38841914525</v>
      </c>
      <c r="R18" s="947">
        <f>VehicleCostData2023!AL15</f>
        <v>414211.03231367638</v>
      </c>
      <c r="S18" s="348">
        <f t="shared" si="5"/>
        <v>1.0839404210120596</v>
      </c>
      <c r="T18" s="348">
        <f t="shared" si="6"/>
        <v>1.0539449116507418</v>
      </c>
      <c r="U18" s="348">
        <f t="shared" si="7"/>
        <v>1.046771607826253</v>
      </c>
      <c r="V18" s="348">
        <f t="shared" si="8"/>
        <v>1.0398345710854142</v>
      </c>
      <c r="W18" s="348">
        <f t="shared" si="9"/>
        <v>1.0364100354420756</v>
      </c>
      <c r="X18" s="348">
        <f t="shared" si="10"/>
        <v>1.0330589414812039</v>
      </c>
      <c r="Y18" s="348">
        <f t="shared" si="11"/>
        <v>1.0309162137162475</v>
      </c>
      <c r="Z18" s="348">
        <f t="shared" si="12"/>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13"/>
        <v>2.7731584934931535</v>
      </c>
      <c r="AP18" s="522">
        <f t="shared" si="14"/>
        <v>2.0718600724531742</v>
      </c>
      <c r="AQ18" s="522">
        <f t="shared" si="15"/>
        <v>1.6924435330873051</v>
      </c>
      <c r="AR18" s="522">
        <f t="shared" si="16"/>
        <v>1.5062933039675674</v>
      </c>
      <c r="AS18" s="522">
        <f t="shared" si="17"/>
        <v>1.3837225479656539</v>
      </c>
    </row>
    <row r="19" spans="1:45" ht="15" x14ac:dyDescent="0.2">
      <c r="A19" s="340" t="str">
        <f t="shared" si="18"/>
        <v>Passenger Car</v>
      </c>
      <c r="B19" s="901"/>
      <c r="C19" s="475"/>
      <c r="D19" s="475"/>
      <c r="E19" s="476"/>
      <c r="F19" s="475"/>
      <c r="G19" s="475"/>
      <c r="H19" s="475"/>
      <c r="I19" s="475"/>
      <c r="J19" s="902"/>
      <c r="K19" s="948">
        <f>VehicleCostData2023!AE16</f>
        <v>0</v>
      </c>
      <c r="L19" s="475">
        <f>VehicleCostData2023!AF16</f>
        <v>0</v>
      </c>
      <c r="M19" s="475">
        <f>VehicleCostData2023!AG16</f>
        <v>0</v>
      </c>
      <c r="N19" s="475">
        <f>VehicleCostData2023!AH16</f>
        <v>0</v>
      </c>
      <c r="O19" s="475">
        <f>VehicleCostData2023!AI16</f>
        <v>0</v>
      </c>
      <c r="P19" s="475">
        <f>VehicleCostData2023!AJ16</f>
        <v>0</v>
      </c>
      <c r="Q19" s="475">
        <f>VehicleCostData2023!AK16</f>
        <v>0</v>
      </c>
      <c r="R19" s="949">
        <f>VehicleCostData2023!AL16</f>
        <v>0</v>
      </c>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18"/>
        <v>Passenger Car</v>
      </c>
      <c r="B20" s="901"/>
      <c r="C20" s="475"/>
      <c r="D20" s="475"/>
      <c r="E20" s="476"/>
      <c r="F20" s="475"/>
      <c r="G20" s="475"/>
      <c r="H20" s="475"/>
      <c r="I20" s="475"/>
      <c r="J20" s="902"/>
      <c r="K20" s="948">
        <f>VehicleCostData2023!AE17</f>
        <v>0</v>
      </c>
      <c r="L20" s="475">
        <f>VehicleCostData2023!AF17</f>
        <v>0</v>
      </c>
      <c r="M20" s="475">
        <f>VehicleCostData2023!AG17</f>
        <v>0</v>
      </c>
      <c r="N20" s="475">
        <f>VehicleCostData2023!AH17</f>
        <v>0</v>
      </c>
      <c r="O20" s="475">
        <f>VehicleCostData2023!AI17</f>
        <v>0</v>
      </c>
      <c r="P20" s="475">
        <f>VehicleCostData2023!AJ17</f>
        <v>0</v>
      </c>
      <c r="Q20" s="475">
        <f>VehicleCostData2023!AK17</f>
        <v>0</v>
      </c>
      <c r="R20" s="949">
        <f>VehicleCostData2023!AL17</f>
        <v>0</v>
      </c>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903" t="s">
        <v>715</v>
      </c>
      <c r="C21" s="369">
        <v>2010</v>
      </c>
      <c r="D21" s="369">
        <v>2020</v>
      </c>
      <c r="E21" s="372"/>
      <c r="F21" s="369">
        <v>2030</v>
      </c>
      <c r="G21" s="369"/>
      <c r="H21" s="369">
        <v>2040</v>
      </c>
      <c r="I21" s="369"/>
      <c r="J21" s="895">
        <v>2050</v>
      </c>
      <c r="K21" s="942">
        <f>VehicleCostData2023!AE18</f>
        <v>2010</v>
      </c>
      <c r="L21" s="371">
        <f>VehicleCostData2023!AF18</f>
        <v>2020</v>
      </c>
      <c r="M21" s="371">
        <f>VehicleCostData2023!AG18</f>
        <v>0</v>
      </c>
      <c r="N21" s="371">
        <f>VehicleCostData2023!AH18</f>
        <v>2030</v>
      </c>
      <c r="O21" s="371">
        <f>VehicleCostData2023!AI18</f>
        <v>0</v>
      </c>
      <c r="P21" s="371">
        <f>VehicleCostData2023!AJ18</f>
        <v>2040</v>
      </c>
      <c r="Q21" s="371">
        <f>VehicleCostData2023!AK18</f>
        <v>0</v>
      </c>
      <c r="R21" s="943">
        <f>VehicleCostData2023!AL18</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19">A21</f>
        <v>Motorcycle or Moped</v>
      </c>
      <c r="B22" s="904" t="s">
        <v>791</v>
      </c>
      <c r="C22" s="513" t="s">
        <v>193</v>
      </c>
      <c r="D22" s="512" t="s">
        <v>193</v>
      </c>
      <c r="E22" s="511"/>
      <c r="F22" s="510" t="s">
        <v>193</v>
      </c>
      <c r="G22" s="510"/>
      <c r="H22" s="509" t="s">
        <v>193</v>
      </c>
      <c r="I22" s="509"/>
      <c r="J22" s="905" t="s">
        <v>193</v>
      </c>
      <c r="K22" s="908" t="s">
        <v>1360</v>
      </c>
      <c r="L22" s="340" t="s">
        <v>1360</v>
      </c>
      <c r="M22" s="340" t="s">
        <v>1360</v>
      </c>
      <c r="N22" s="340" t="s">
        <v>1360</v>
      </c>
      <c r="O22" s="340" t="s">
        <v>1360</v>
      </c>
      <c r="P22" s="340" t="s">
        <v>1360</v>
      </c>
      <c r="Q22" s="340" t="s">
        <v>1360</v>
      </c>
      <c r="R22" s="938" t="s">
        <v>1360</v>
      </c>
      <c r="S22" s="348"/>
      <c r="AA22"/>
      <c r="AB22" s="507" t="s">
        <v>659</v>
      </c>
      <c r="AC22" s="506" t="s">
        <v>193</v>
      </c>
      <c r="AD22" s="505" t="s">
        <v>193</v>
      </c>
      <c r="AE22" s="504" t="s">
        <v>193</v>
      </c>
      <c r="AF22" s="503" t="s">
        <v>193</v>
      </c>
      <c r="AG22" s="502" t="s">
        <v>193</v>
      </c>
      <c r="AH22"/>
      <c r="AI22"/>
      <c r="AJ22"/>
    </row>
    <row r="23" spans="1:45" ht="15" x14ac:dyDescent="0.25">
      <c r="A23" s="340" t="str">
        <f t="shared" si="19"/>
        <v>Motorcycle or Moped</v>
      </c>
      <c r="B23" s="906"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907">
        <v>6982.9686511182554</v>
      </c>
      <c r="K23" s="946">
        <f>VehicleCostData2023!AE20</f>
        <v>96467.645499958366</v>
      </c>
      <c r="L23" s="836">
        <f>VehicleCostData2023!AF20</f>
        <v>100952.58236707702</v>
      </c>
      <c r="M23" s="836">
        <f>VehicleCostData2023!AG20</f>
        <v>102362.83931314477</v>
      </c>
      <c r="N23" s="836">
        <f>VehicleCostData2023!AH20</f>
        <v>103773.09625921253</v>
      </c>
      <c r="O23" s="836">
        <f>VehicleCostData2023!AI20</f>
        <v>105377.19050256097</v>
      </c>
      <c r="P23" s="836">
        <f>VehicleCostData2023!AJ20</f>
        <v>106981.2847459094</v>
      </c>
      <c r="Q23" s="836">
        <f>VehicleCostData2023!AK20</f>
        <v>107722.80831241101</v>
      </c>
      <c r="R23" s="947">
        <f>VehicleCostData2023!AL20</f>
        <v>108464.33187891265</v>
      </c>
      <c r="S23" s="348">
        <f t="shared" ref="S23:Z26" si="20">C23/C$23</f>
        <v>1</v>
      </c>
      <c r="T23" s="348">
        <f t="shared" si="20"/>
        <v>1</v>
      </c>
      <c r="U23" s="348">
        <f t="shared" si="20"/>
        <v>1</v>
      </c>
      <c r="V23" s="348">
        <f t="shared" si="20"/>
        <v>1</v>
      </c>
      <c r="W23" s="348">
        <f t="shared" si="20"/>
        <v>1</v>
      </c>
      <c r="X23" s="348">
        <f t="shared" si="20"/>
        <v>1</v>
      </c>
      <c r="Y23" s="348">
        <f t="shared" si="20"/>
        <v>1</v>
      </c>
      <c r="Z23" s="348">
        <f t="shared" si="20"/>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19"/>
        <v>Motorcycle or Moped</v>
      </c>
      <c r="B24" s="906"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907">
        <v>6868.8671622055499</v>
      </c>
      <c r="K24" s="946">
        <f>VehicleCostData2023!AE21</f>
        <v>202427.5003038717</v>
      </c>
      <c r="L24" s="836">
        <f>VehicleCostData2023!AF21</f>
        <v>184982.86079099006</v>
      </c>
      <c r="M24" s="836">
        <f>VehicleCostData2023!AG21</f>
        <v>182001.73414443681</v>
      </c>
      <c r="N24" s="836">
        <f>VehicleCostData2023!AH21</f>
        <v>179020.60749788352</v>
      </c>
      <c r="O24" s="836">
        <f>VehicleCostData2023!AI21</f>
        <v>179357.91504861315</v>
      </c>
      <c r="P24" s="836">
        <f>VehicleCostData2023!AJ21</f>
        <v>179695.22259934273</v>
      </c>
      <c r="Q24" s="836">
        <f>VehicleCostData2023!AK21</f>
        <v>180342.9569033533</v>
      </c>
      <c r="R24" s="947">
        <f>VehicleCostData2023!AL21</f>
        <v>180990.69120736388</v>
      </c>
      <c r="S24" s="348">
        <f t="shared" si="20"/>
        <v>1.2369825282591598</v>
      </c>
      <c r="T24" s="348">
        <f t="shared" si="20"/>
        <v>1.0801642289685731</v>
      </c>
      <c r="U24" s="348">
        <f t="shared" si="20"/>
        <v>1.0481149950663742</v>
      </c>
      <c r="V24" s="348">
        <f t="shared" si="20"/>
        <v>1.0169368473388392</v>
      </c>
      <c r="W24" s="348">
        <f t="shared" si="20"/>
        <v>1.003343550412825</v>
      </c>
      <c r="X24" s="348">
        <f t="shared" si="20"/>
        <v>0.99015789355953798</v>
      </c>
      <c r="Y24" s="348">
        <f t="shared" si="20"/>
        <v>0.98688659802185419</v>
      </c>
      <c r="Z24" s="348">
        <f t="shared" si="20"/>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19"/>
        <v>Motorcycle or Moped</v>
      </c>
      <c r="B25" s="906"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907">
        <v>7540.9608799540883</v>
      </c>
      <c r="K25" s="946">
        <f>VehicleCostData2023!AE22</f>
        <v>771314.59438570309</v>
      </c>
      <c r="L25" s="836">
        <f>VehicleCostData2023!AF22</f>
        <v>615656.0884163403</v>
      </c>
      <c r="M25" s="836">
        <f>VehicleCostData2023!AG22</f>
        <v>581658.22367545473</v>
      </c>
      <c r="N25" s="836">
        <f>VehicleCostData2023!AH22</f>
        <v>547660.35893456906</v>
      </c>
      <c r="O25" s="836">
        <f>VehicleCostData2023!AI22</f>
        <v>556032.29122110654</v>
      </c>
      <c r="P25" s="836">
        <f>VehicleCostData2023!AJ22</f>
        <v>564404.22350764414</v>
      </c>
      <c r="Q25" s="836">
        <f>VehicleCostData2023!AK22</f>
        <v>572677.08717280149</v>
      </c>
      <c r="R25" s="947">
        <f>VehicleCostData2023!AL22</f>
        <v>580949.95083795895</v>
      </c>
      <c r="S25" s="348">
        <f t="shared" si="20"/>
        <v>1.6120729537610547</v>
      </c>
      <c r="T25" s="348">
        <f t="shared" si="20"/>
        <v>1.2295765379550596</v>
      </c>
      <c r="U25" s="348">
        <f t="shared" si="20"/>
        <v>1.1456721883222982</v>
      </c>
      <c r="V25" s="348">
        <f t="shared" si="20"/>
        <v>1.0640483274894341</v>
      </c>
      <c r="W25" s="348">
        <f t="shared" si="20"/>
        <v>1.063869160616562</v>
      </c>
      <c r="X25" s="348">
        <f t="shared" si="20"/>
        <v>1.063695366656346</v>
      </c>
      <c r="Y25" s="348">
        <f t="shared" si="20"/>
        <v>1.0718572801428914</v>
      </c>
      <c r="Z25" s="348">
        <f t="shared" si="20"/>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19"/>
        <v>Motorcycle or Moped</v>
      </c>
      <c r="B26" s="906"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907">
        <v>9287.6163716223946</v>
      </c>
      <c r="K26" s="946">
        <f>VehicleCostData2023!AE23</f>
        <v>2493340.1928731529</v>
      </c>
      <c r="L26" s="836">
        <f>VehicleCostData2023!AF23</f>
        <v>923484.13262451033</v>
      </c>
      <c r="M26" s="836">
        <f>VehicleCostData2023!AG23</f>
        <v>877309.92599328468</v>
      </c>
      <c r="N26" s="836">
        <f>VehicleCostData2023!AH23</f>
        <v>833444.42969362042</v>
      </c>
      <c r="O26" s="836">
        <f>VehicleCostData2023!AI23</f>
        <v>791772.20820893941</v>
      </c>
      <c r="P26" s="836">
        <f>VehicleCostData2023!AJ23</f>
        <v>752183.59779849229</v>
      </c>
      <c r="Q26" s="836">
        <f>VehicleCostData2023!AK23</f>
        <v>714574.4179085677</v>
      </c>
      <c r="R26" s="947">
        <f>VehicleCostData2023!AL23</f>
        <v>678845.69701313926</v>
      </c>
      <c r="S26" s="348">
        <f t="shared" si="20"/>
        <v>10.3012099791059</v>
      </c>
      <c r="T26" s="348">
        <f t="shared" si="20"/>
        <v>3.6458633405890888</v>
      </c>
      <c r="U26" s="348">
        <f t="shared" si="20"/>
        <v>2.6375074331421184</v>
      </c>
      <c r="V26" s="348">
        <f t="shared" si="20"/>
        <v>1.6565582616189463</v>
      </c>
      <c r="W26" s="348">
        <f t="shared" si="20"/>
        <v>1.5221718458509992</v>
      </c>
      <c r="X26" s="348">
        <f t="shared" si="20"/>
        <v>1.3918154522767392</v>
      </c>
      <c r="Y26" s="348">
        <f t="shared" si="20"/>
        <v>1.3607142952708948</v>
      </c>
      <c r="Z26" s="348">
        <f t="shared" si="20"/>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19"/>
        <v>Motorcycle or Moped</v>
      </c>
      <c r="B27" s="908"/>
      <c r="J27" s="891"/>
      <c r="K27" s="908">
        <f>VehicleCostData2023!AE24</f>
        <v>0</v>
      </c>
      <c r="L27" s="340">
        <f>VehicleCostData2023!AF24</f>
        <v>0</v>
      </c>
      <c r="M27" s="340">
        <f>VehicleCostData2023!AG24</f>
        <v>0</v>
      </c>
      <c r="N27" s="340">
        <f>VehicleCostData2023!AH24</f>
        <v>0</v>
      </c>
      <c r="O27" s="340">
        <f>VehicleCostData2023!AI24</f>
        <v>0</v>
      </c>
      <c r="P27" s="340">
        <f>VehicleCostData2023!AJ24</f>
        <v>0</v>
      </c>
      <c r="Q27" s="340">
        <f>VehicleCostData2023!AK24</f>
        <v>0</v>
      </c>
      <c r="R27" s="938">
        <f>VehicleCostData2023!AL24</f>
        <v>0</v>
      </c>
    </row>
    <row r="28" spans="1:45" x14ac:dyDescent="0.2">
      <c r="A28" s="340" t="str">
        <f t="shared" si="19"/>
        <v>Motorcycle or Moped</v>
      </c>
      <c r="B28" s="892" t="s">
        <v>832</v>
      </c>
      <c r="C28" s="474" t="s">
        <v>831</v>
      </c>
      <c r="D28" s="473">
        <v>0.08</v>
      </c>
      <c r="E28" s="472"/>
      <c r="J28" s="891"/>
      <c r="K28" s="908">
        <f>VehicleCostData2023!AE25</f>
        <v>0</v>
      </c>
      <c r="L28" s="340">
        <f>VehicleCostData2023!AF25</f>
        <v>0</v>
      </c>
      <c r="M28" s="340">
        <f>VehicleCostData2023!AG25</f>
        <v>0</v>
      </c>
      <c r="N28" s="340">
        <f>VehicleCostData2023!AH25</f>
        <v>0</v>
      </c>
      <c r="O28" s="340">
        <f>VehicleCostData2023!AI25</f>
        <v>0</v>
      </c>
      <c r="P28" s="340">
        <f>VehicleCostData2023!AJ25</f>
        <v>0</v>
      </c>
      <c r="Q28" s="340">
        <f>VehicleCostData2023!AK25</f>
        <v>0</v>
      </c>
      <c r="R28" s="938">
        <f>VehicleCostData2023!AL25</f>
        <v>0</v>
      </c>
      <c r="AB28" s="470" t="s">
        <v>816</v>
      </c>
      <c r="AC28" s="340" t="s">
        <v>834</v>
      </c>
    </row>
    <row r="29" spans="1:45" x14ac:dyDescent="0.2">
      <c r="A29" s="340" t="str">
        <f>B29</f>
        <v xml:space="preserve">Van / LCV </v>
      </c>
      <c r="B29" s="894" t="s">
        <v>701</v>
      </c>
      <c r="C29" s="369">
        <v>2010</v>
      </c>
      <c r="D29" s="369">
        <v>2020</v>
      </c>
      <c r="E29" s="372"/>
      <c r="F29" s="369">
        <v>2030</v>
      </c>
      <c r="G29" s="369"/>
      <c r="H29" s="369">
        <v>2040</v>
      </c>
      <c r="I29" s="369"/>
      <c r="J29" s="895">
        <v>2050</v>
      </c>
      <c r="K29" s="942">
        <f>VehicleCostData2023!AE26</f>
        <v>2010</v>
      </c>
      <c r="L29" s="371">
        <f>VehicleCostData2023!AF26</f>
        <v>2020</v>
      </c>
      <c r="M29" s="371">
        <f>VehicleCostData2023!AG26</f>
        <v>0</v>
      </c>
      <c r="N29" s="371">
        <f>VehicleCostData2023!AH26</f>
        <v>2030</v>
      </c>
      <c r="O29" s="371">
        <f>VehicleCostData2023!AI26</f>
        <v>0</v>
      </c>
      <c r="P29" s="371">
        <f>VehicleCostData2023!AJ26</f>
        <v>2040</v>
      </c>
      <c r="Q29" s="371">
        <f>VehicleCostData2023!AK26</f>
        <v>0</v>
      </c>
      <c r="R29" s="943">
        <f>VehicleCostData2023!AL26</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21">A29</f>
        <v xml:space="preserve">Van / LCV </v>
      </c>
      <c r="B30" s="896" t="s">
        <v>791</v>
      </c>
      <c r="C30" s="460"/>
      <c r="D30" s="466" t="s">
        <v>193</v>
      </c>
      <c r="E30" s="480"/>
      <c r="F30" s="466" t="s">
        <v>193</v>
      </c>
      <c r="G30" s="466"/>
      <c r="H30" s="466" t="s">
        <v>193</v>
      </c>
      <c r="I30" s="466"/>
      <c r="J30" s="897" t="s">
        <v>193</v>
      </c>
      <c r="K30" s="908" t="s">
        <v>1360</v>
      </c>
      <c r="L30" s="340" t="s">
        <v>1360</v>
      </c>
      <c r="M30" s="340" t="s">
        <v>1360</v>
      </c>
      <c r="N30" s="340" t="s">
        <v>1360</v>
      </c>
      <c r="O30" s="340" t="s">
        <v>1360</v>
      </c>
      <c r="P30" s="340" t="s">
        <v>1360</v>
      </c>
      <c r="Q30" s="340" t="s">
        <v>1360</v>
      </c>
      <c r="R30" s="938" t="s">
        <v>1360</v>
      </c>
      <c r="AB30" s="465" t="s">
        <v>659</v>
      </c>
      <c r="AC30" s="464" t="s">
        <v>663</v>
      </c>
      <c r="AD30" s="464" t="s">
        <v>663</v>
      </c>
      <c r="AE30" s="464" t="s">
        <v>663</v>
      </c>
      <c r="AF30" s="464" t="s">
        <v>663</v>
      </c>
      <c r="AG30" s="464" t="s">
        <v>663</v>
      </c>
    </row>
    <row r="31" spans="1:45" ht="15" x14ac:dyDescent="0.2">
      <c r="A31" s="340" t="str">
        <f t="shared" si="21"/>
        <v xml:space="preserve">Van / LCV </v>
      </c>
      <c r="B31" s="898" t="s">
        <v>680</v>
      </c>
      <c r="C31" s="460">
        <v>11305.478439259858</v>
      </c>
      <c r="D31" s="460">
        <v>12289.794448140692</v>
      </c>
      <c r="E31" s="350">
        <f t="shared" ref="E31:E43" si="22">AVERAGE(D31,F31)</f>
        <v>12516.277438952329</v>
      </c>
      <c r="F31" s="460">
        <v>12742.760429763966</v>
      </c>
      <c r="G31" s="350">
        <f t="shared" ref="G31:G43" si="23">AVERAGE(F31,H31)</f>
        <v>13021.038161305632</v>
      </c>
      <c r="H31" s="460">
        <v>13299.315892847299</v>
      </c>
      <c r="I31" s="350">
        <f t="shared" ref="I31:I43" si="24">AVERAGE(H31,J31)</f>
        <v>13438.741884494142</v>
      </c>
      <c r="J31" s="899">
        <v>13578.167876140986</v>
      </c>
      <c r="K31" s="946">
        <f>VehicleCostData2023!AE28</f>
        <v>322554.53757929691</v>
      </c>
      <c r="L31" s="836">
        <f>VehicleCostData2023!AF28</f>
        <v>350637.87759734597</v>
      </c>
      <c r="M31" s="836">
        <f>VehicleCostData2023!AG28</f>
        <v>357099.62238446943</v>
      </c>
      <c r="N31" s="836">
        <f>VehicleCostData2023!AH28</f>
        <v>363561.36717159278</v>
      </c>
      <c r="O31" s="836">
        <f>VehicleCostData2023!AI28</f>
        <v>371500.85823323019</v>
      </c>
      <c r="P31" s="836">
        <f>VehicleCostData2023!AJ28</f>
        <v>379440.3492948676</v>
      </c>
      <c r="Q31" s="836">
        <f>VehicleCostData2023!AK28</f>
        <v>383418.28676153941</v>
      </c>
      <c r="R31" s="947">
        <f>VehicleCostData2023!AL28</f>
        <v>387396.22422821133</v>
      </c>
      <c r="S31" s="348">
        <f t="shared" ref="S31:S43" si="25">C31/C$31</f>
        <v>1</v>
      </c>
      <c r="T31" s="348">
        <f t="shared" ref="T31:T43" si="26">D31/D$31</f>
        <v>1</v>
      </c>
      <c r="U31" s="348">
        <f t="shared" ref="U31:U43" si="27">E31/E$31</f>
        <v>1</v>
      </c>
      <c r="V31" s="348">
        <f t="shared" ref="V31:V43" si="28">F31/F$31</f>
        <v>1</v>
      </c>
      <c r="W31" s="348">
        <f t="shared" ref="W31:W43" si="29">G31/G$31</f>
        <v>1</v>
      </c>
      <c r="X31" s="348">
        <f t="shared" ref="X31:X43" si="30">H31/H$31</f>
        <v>1</v>
      </c>
      <c r="Y31" s="348">
        <f t="shared" ref="Y31:Y43" si="31">I31/I$31</f>
        <v>1</v>
      </c>
      <c r="Z31" s="348">
        <f t="shared" ref="Z31:Z43" si="32">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21"/>
        <v xml:space="preserve">Van / LCV </v>
      </c>
      <c r="B32" s="898" t="s">
        <v>687</v>
      </c>
      <c r="C32" s="460">
        <v>12067.578439259856</v>
      </c>
      <c r="D32" s="460">
        <v>13322.531671240238</v>
      </c>
      <c r="E32" s="350">
        <f t="shared" si="22"/>
        <v>13559.916920694781</v>
      </c>
      <c r="F32" s="460">
        <v>13797.302170149324</v>
      </c>
      <c r="G32" s="350">
        <f t="shared" si="23"/>
        <v>14084.66938951456</v>
      </c>
      <c r="H32" s="460">
        <v>14372.036608879796</v>
      </c>
      <c r="I32" s="350">
        <f t="shared" si="24"/>
        <v>14513.120679970814</v>
      </c>
      <c r="J32" s="899">
        <v>14654.204751061832</v>
      </c>
      <c r="K32" s="946">
        <f>VehicleCostData2023!AE29</f>
        <v>449299.91329948109</v>
      </c>
      <c r="L32" s="836">
        <f>VehicleCostData2023!AF29</f>
        <v>496024.31464990409</v>
      </c>
      <c r="M32" s="836">
        <f>VehicleCostData2023!AG29</f>
        <v>504862.6389695133</v>
      </c>
      <c r="N32" s="836">
        <f>VehicleCostData2023!AH29</f>
        <v>513700.96328912245</v>
      </c>
      <c r="O32" s="836">
        <f>VehicleCostData2023!AI29</f>
        <v>524400.21562013379</v>
      </c>
      <c r="P32" s="836">
        <f>VehicleCostData2023!AJ29</f>
        <v>535099.46795114526</v>
      </c>
      <c r="Q32" s="836">
        <f>VehicleCostData2023!AK29</f>
        <v>540352.30813181528</v>
      </c>
      <c r="R32" s="947">
        <f>VehicleCostData2023!AL29</f>
        <v>545605.14831248531</v>
      </c>
      <c r="S32" s="348">
        <f t="shared" si="25"/>
        <v>1.0674097964181242</v>
      </c>
      <c r="T32" s="348">
        <f t="shared" si="26"/>
        <v>1.084032098946601</v>
      </c>
      <c r="U32" s="348">
        <f t="shared" si="27"/>
        <v>1.0833825781533497</v>
      </c>
      <c r="V32" s="348">
        <f t="shared" si="28"/>
        <v>1.0827561458286703</v>
      </c>
      <c r="W32" s="348">
        <f t="shared" si="29"/>
        <v>1.0816855933476717</v>
      </c>
      <c r="X32" s="348">
        <f t="shared" si="30"/>
        <v>1.0806598418050535</v>
      </c>
      <c r="Y32" s="348">
        <f t="shared" si="31"/>
        <v>1.0799463822365925</v>
      </c>
      <c r="Z32" s="348">
        <f t="shared" si="32"/>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21"/>
        <v xml:space="preserve">Van / LCV </v>
      </c>
      <c r="B33" s="898" t="s">
        <v>688</v>
      </c>
      <c r="C33" s="460">
        <v>13782.736415022977</v>
      </c>
      <c r="D33" s="460">
        <v>13427.805704040664</v>
      </c>
      <c r="E33" s="350">
        <f t="shared" si="22"/>
        <v>13342.505844101395</v>
      </c>
      <c r="F33" s="460">
        <v>13257.205984162127</v>
      </c>
      <c r="G33" s="350">
        <f t="shared" si="23"/>
        <v>13379.130824979849</v>
      </c>
      <c r="H33" s="460">
        <v>13501.055665797574</v>
      </c>
      <c r="I33" s="350">
        <f t="shared" si="24"/>
        <v>13550.4912530031</v>
      </c>
      <c r="J33" s="899">
        <v>13599.926840208624</v>
      </c>
      <c r="K33" s="946">
        <f>VehicleCostData2023!AE30</f>
        <v>456466.29787467641</v>
      </c>
      <c r="L33" s="836">
        <f>VehicleCostData2023!AF30</f>
        <v>444711.45451370708</v>
      </c>
      <c r="M33" s="836">
        <f>VehicleCostData2023!AG30</f>
        <v>441886.43413290184</v>
      </c>
      <c r="N33" s="836">
        <f>VehicleCostData2023!AH30</f>
        <v>439061.41375209665</v>
      </c>
      <c r="O33" s="836">
        <f>VehicleCostData2023!AI30</f>
        <v>443099.40584823524</v>
      </c>
      <c r="P33" s="836">
        <f>VehicleCostData2023!AJ30</f>
        <v>447137.39794437401</v>
      </c>
      <c r="Q33" s="836">
        <f>VehicleCostData2023!AK30</f>
        <v>448774.64027387038</v>
      </c>
      <c r="R33" s="947">
        <f>VehicleCostData2023!AL30</f>
        <v>450411.88260336674</v>
      </c>
      <c r="S33" s="348">
        <f t="shared" si="25"/>
        <v>1.2191201362306343</v>
      </c>
      <c r="T33" s="348">
        <f t="shared" si="26"/>
        <v>1.0925980707571672</v>
      </c>
      <c r="U33" s="348">
        <f t="shared" si="27"/>
        <v>1.0660123115022788</v>
      </c>
      <c r="V33" s="348">
        <f t="shared" si="28"/>
        <v>1.0403715943051508</v>
      </c>
      <c r="W33" s="348">
        <f t="shared" si="29"/>
        <v>1.0275010839564509</v>
      </c>
      <c r="X33" s="348">
        <f t="shared" si="30"/>
        <v>1.0151691842329105</v>
      </c>
      <c r="Y33" s="348">
        <f t="shared" si="31"/>
        <v>1.0083154635656701</v>
      </c>
      <c r="Z33" s="348">
        <f t="shared" si="32"/>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21"/>
        <v xml:space="preserve">Van / LCV </v>
      </c>
      <c r="B34" s="898" t="s">
        <v>689</v>
      </c>
      <c r="C34" s="460">
        <v>14581.175917305238</v>
      </c>
      <c r="D34" s="460">
        <v>14391.269995327921</v>
      </c>
      <c r="E34" s="350">
        <f t="shared" si="22"/>
        <v>14294.563247962416</v>
      </c>
      <c r="F34" s="460">
        <v>14197.856500596912</v>
      </c>
      <c r="G34" s="350">
        <f t="shared" si="23"/>
        <v>14327.249958258559</v>
      </c>
      <c r="H34" s="460">
        <v>14456.643415920207</v>
      </c>
      <c r="I34" s="350">
        <f t="shared" si="24"/>
        <v>14506.008189654398</v>
      </c>
      <c r="J34" s="899">
        <v>14555.372963388589</v>
      </c>
      <c r="K34" s="946">
        <f>VehicleCostData2023!AE31</f>
        <v>675869.74111494585</v>
      </c>
      <c r="L34" s="836">
        <f>VehicleCostData2023!AF31</f>
        <v>667067.18177056045</v>
      </c>
      <c r="M34" s="836">
        <f>VehicleCostData2023!AG31</f>
        <v>662584.61022237549</v>
      </c>
      <c r="N34" s="836">
        <f>VehicleCostData2023!AH31</f>
        <v>658102.03867419052</v>
      </c>
      <c r="O34" s="836">
        <f>VehicleCostData2023!AI31</f>
        <v>664099.71151125943</v>
      </c>
      <c r="P34" s="836">
        <f>VehicleCostData2023!AJ31</f>
        <v>670097.38434832846</v>
      </c>
      <c r="Q34" s="836">
        <f>VehicleCostData2023!AK31</f>
        <v>672385.55075089738</v>
      </c>
      <c r="R34" s="947">
        <f>VehicleCostData2023!AL31</f>
        <v>674673.71715346631</v>
      </c>
      <c r="S34" s="348">
        <f t="shared" si="25"/>
        <v>1.2897442594441701</v>
      </c>
      <c r="T34" s="348">
        <f t="shared" si="26"/>
        <v>1.1709935472114554</v>
      </c>
      <c r="U34" s="348">
        <f t="shared" si="27"/>
        <v>1.1420778516362879</v>
      </c>
      <c r="V34" s="348">
        <f t="shared" si="28"/>
        <v>1.1141900201964245</v>
      </c>
      <c r="W34" s="348">
        <f t="shared" si="29"/>
        <v>1.1003154879642831</v>
      </c>
      <c r="X34" s="348">
        <f t="shared" si="30"/>
        <v>1.0870215830947627</v>
      </c>
      <c r="Y34" s="348">
        <f t="shared" si="31"/>
        <v>1.0794171295448189</v>
      </c>
      <c r="Z34" s="348">
        <f t="shared" si="32"/>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21"/>
        <v xml:space="preserve">Van / LCV </v>
      </c>
      <c r="B35" s="898" t="s">
        <v>691</v>
      </c>
      <c r="C35" s="460">
        <v>17244.006666903901</v>
      </c>
      <c r="D35" s="460">
        <v>14975.578208305285</v>
      </c>
      <c r="E35" s="350">
        <f t="shared" si="22"/>
        <v>14582.535049386763</v>
      </c>
      <c r="F35" s="460">
        <v>14189.491890468238</v>
      </c>
      <c r="G35" s="350">
        <f t="shared" si="23"/>
        <v>14227.836500369689</v>
      </c>
      <c r="H35" s="460">
        <v>14266.18111027114</v>
      </c>
      <c r="I35" s="350">
        <f t="shared" si="24"/>
        <v>14253.68100490546</v>
      </c>
      <c r="J35" s="899">
        <v>14241.180899539781</v>
      </c>
      <c r="K35" s="946">
        <f>VehicleCostData2023!AE32</f>
        <v>681058.69096699485</v>
      </c>
      <c r="L35" s="836">
        <f>VehicleCostData2023!AF32</f>
        <v>591466.23450323043</v>
      </c>
      <c r="M35" s="836">
        <f>VehicleCostData2023!AG32</f>
        <v>575942.84342148469</v>
      </c>
      <c r="N35" s="836">
        <f>VehicleCostData2023!AH32</f>
        <v>560419.45233973872</v>
      </c>
      <c r="O35" s="836">
        <f>VehicleCostData2023!AI32</f>
        <v>561933.88748985052</v>
      </c>
      <c r="P35" s="836">
        <f>VehicleCostData2023!AJ32</f>
        <v>563448.32263996243</v>
      </c>
      <c r="Q35" s="836">
        <f>VehicleCostData2023!AK32</f>
        <v>562954.62615968683</v>
      </c>
      <c r="R35" s="947">
        <f>VehicleCostData2023!AL32</f>
        <v>562460.92967941123</v>
      </c>
      <c r="S35" s="348">
        <f t="shared" si="25"/>
        <v>1.5252788070447043</v>
      </c>
      <c r="T35" s="348">
        <f t="shared" si="26"/>
        <v>1.2185377283157834</v>
      </c>
      <c r="U35" s="348">
        <f t="shared" si="27"/>
        <v>1.1650856351269399</v>
      </c>
      <c r="V35" s="348">
        <f t="shared" si="28"/>
        <v>1.1135335996214024</v>
      </c>
      <c r="W35" s="348">
        <f t="shared" si="29"/>
        <v>1.0926806545003667</v>
      </c>
      <c r="X35" s="348">
        <f t="shared" si="30"/>
        <v>1.0727003723510204</v>
      </c>
      <c r="Y35" s="348">
        <f t="shared" si="31"/>
        <v>1.0606410278146357</v>
      </c>
      <c r="Z35" s="348">
        <f t="shared" si="32"/>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21"/>
        <v xml:space="preserve">Van / LCV </v>
      </c>
      <c r="B36" s="898" t="s">
        <v>695</v>
      </c>
      <c r="C36" s="460">
        <v>17948.50016215329</v>
      </c>
      <c r="D36" s="460">
        <v>15887.386898316114</v>
      </c>
      <c r="E36" s="350">
        <f t="shared" si="22"/>
        <v>15492.43721685409</v>
      </c>
      <c r="F36" s="460">
        <v>15097.487535392065</v>
      </c>
      <c r="G36" s="350">
        <f t="shared" si="23"/>
        <v>15144.921633117086</v>
      </c>
      <c r="H36" s="460">
        <v>15192.355730842108</v>
      </c>
      <c r="I36" s="350">
        <f t="shared" si="24"/>
        <v>15181.513704920602</v>
      </c>
      <c r="J36" s="899">
        <v>15170.671678999097</v>
      </c>
      <c r="K36" s="946">
        <f>VehicleCostData2023!AE33</f>
        <v>1002298.1004209004</v>
      </c>
      <c r="L36" s="836">
        <f>VehicleCostData2023!AF33</f>
        <v>887199.3517548457</v>
      </c>
      <c r="M36" s="836">
        <f>VehicleCostData2023!AG33</f>
        <v>865144.17656388774</v>
      </c>
      <c r="N36" s="836">
        <f>VehicleCostData2023!AH33</f>
        <v>843089.0013729299</v>
      </c>
      <c r="O36" s="836">
        <f>VehicleCostData2023!AI33</f>
        <v>845737.86370769027</v>
      </c>
      <c r="P36" s="836">
        <f>VehicleCostData2023!AJ33</f>
        <v>848386.72604245064</v>
      </c>
      <c r="Q36" s="836">
        <f>VehicleCostData2023!AK33</f>
        <v>847781.27478537266</v>
      </c>
      <c r="R36" s="947">
        <f>VehicleCostData2023!AL33</f>
        <v>847175.82352829492</v>
      </c>
      <c r="S36" s="348">
        <f t="shared" si="25"/>
        <v>1.5875931530526484</v>
      </c>
      <c r="T36" s="348">
        <f t="shared" si="26"/>
        <v>1.2927300749704318</v>
      </c>
      <c r="U36" s="348">
        <f t="shared" si="27"/>
        <v>1.2377831421856753</v>
      </c>
      <c r="V36" s="348">
        <f t="shared" si="28"/>
        <v>1.1847894040390208</v>
      </c>
      <c r="W36" s="348">
        <f t="shared" si="29"/>
        <v>1.163111684759742</v>
      </c>
      <c r="X36" s="348">
        <f t="shared" si="30"/>
        <v>1.1423411439540987</v>
      </c>
      <c r="Y36" s="348">
        <f t="shared" si="31"/>
        <v>1.129682661919216</v>
      </c>
      <c r="Z36" s="348">
        <f t="shared" si="32"/>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21"/>
        <v xml:space="preserve">Van / LCV </v>
      </c>
      <c r="B37" s="898" t="s">
        <v>839</v>
      </c>
      <c r="C37" s="460">
        <v>21872.524729385099</v>
      </c>
      <c r="D37" s="460">
        <v>16676.133179824523</v>
      </c>
      <c r="E37" s="350">
        <f t="shared" si="22"/>
        <v>15889.36787814397</v>
      </c>
      <c r="F37" s="460">
        <v>15102.602576463418</v>
      </c>
      <c r="G37" s="350">
        <f t="shared" si="23"/>
        <v>15085.19053170866</v>
      </c>
      <c r="H37" s="460">
        <v>15067.778486953905</v>
      </c>
      <c r="I37" s="350">
        <f t="shared" si="24"/>
        <v>15004.514134513698</v>
      </c>
      <c r="J37" s="899">
        <v>14941.24978207349</v>
      </c>
      <c r="K37" s="946">
        <f>VehicleCostData2023!AE34</f>
        <v>1031775.3763827133</v>
      </c>
      <c r="L37" s="836">
        <f>VehicleCostData2023!AF34</f>
        <v>786650.09188929654</v>
      </c>
      <c r="M37" s="836">
        <f>VehicleCostData2023!AG34</f>
        <v>749536.63218083745</v>
      </c>
      <c r="N37" s="836">
        <f>VehicleCostData2023!AH34</f>
        <v>712423.17247237812</v>
      </c>
      <c r="O37" s="836">
        <f>VehicleCostData2023!AI34</f>
        <v>711601.80780356633</v>
      </c>
      <c r="P37" s="836">
        <f>VehicleCostData2023!AJ34</f>
        <v>710780.44313475443</v>
      </c>
      <c r="Q37" s="836">
        <f>VehicleCostData2023!AK34</f>
        <v>707796.12368109275</v>
      </c>
      <c r="R37" s="947">
        <f>VehicleCostData2023!AL34</f>
        <v>704811.80422743072</v>
      </c>
      <c r="S37" s="348">
        <f t="shared" si="25"/>
        <v>1.9346836886999574</v>
      </c>
      <c r="T37" s="348">
        <f t="shared" si="26"/>
        <v>1.3569090394630183</v>
      </c>
      <c r="U37" s="348">
        <f t="shared" si="27"/>
        <v>1.2694962983717613</v>
      </c>
      <c r="V37" s="348">
        <f t="shared" si="28"/>
        <v>1.1851908116539207</v>
      </c>
      <c r="W37" s="348">
        <f t="shared" si="29"/>
        <v>1.158524408333049</v>
      </c>
      <c r="X37" s="348">
        <f t="shared" si="30"/>
        <v>1.132973952070552</v>
      </c>
      <c r="Y37" s="348">
        <f t="shared" si="31"/>
        <v>1.1165118181059919</v>
      </c>
      <c r="Z37" s="348">
        <f t="shared" si="32"/>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21"/>
        <v xml:space="preserve">Van / LCV </v>
      </c>
      <c r="B38" s="898" t="s">
        <v>838</v>
      </c>
      <c r="C38" s="460">
        <v>22530.287595513764</v>
      </c>
      <c r="D38" s="460">
        <v>17434.836796625434</v>
      </c>
      <c r="E38" s="350">
        <f t="shared" si="22"/>
        <v>16624.647547676945</v>
      </c>
      <c r="F38" s="460">
        <v>15814.458298728454</v>
      </c>
      <c r="G38" s="350">
        <f t="shared" si="23"/>
        <v>15806.135741797267</v>
      </c>
      <c r="H38" s="460">
        <v>15797.81318486608</v>
      </c>
      <c r="I38" s="350">
        <f t="shared" si="24"/>
        <v>15736.206911870046</v>
      </c>
      <c r="J38" s="899">
        <v>15674.600638874013</v>
      </c>
      <c r="K38" s="946">
        <f>VehicleCostData2023!AE35</f>
        <v>1524830.9761121718</v>
      </c>
      <c r="L38" s="836">
        <f>VehicleCostData2023!AF35</f>
        <v>1179975.1378339448</v>
      </c>
      <c r="M38" s="836">
        <f>VehicleCostData2023!AG35</f>
        <v>1125142.208690346</v>
      </c>
      <c r="N38" s="836">
        <f>VehicleCostData2023!AH35</f>
        <v>1070309.279546747</v>
      </c>
      <c r="O38" s="836">
        <f>VehicleCostData2023!AI35</f>
        <v>1069746.0158708913</v>
      </c>
      <c r="P38" s="836">
        <f>VehicleCostData2023!AJ35</f>
        <v>1069182.7521950358</v>
      </c>
      <c r="Q38" s="836">
        <f>VehicleCostData2023!AK35</f>
        <v>1065013.2912865172</v>
      </c>
      <c r="R38" s="947">
        <f>VehicleCostData2023!AL35</f>
        <v>1060843.8303779988</v>
      </c>
      <c r="S38" s="348">
        <f t="shared" si="25"/>
        <v>1.9928645847728288</v>
      </c>
      <c r="T38" s="348">
        <f t="shared" si="26"/>
        <v>1.4186434826225371</v>
      </c>
      <c r="U38" s="348">
        <f t="shared" si="27"/>
        <v>1.3282421733429157</v>
      </c>
      <c r="V38" s="348">
        <f t="shared" si="28"/>
        <v>1.2410543528535429</v>
      </c>
      <c r="W38" s="348">
        <f t="shared" si="29"/>
        <v>1.2138921294899554</v>
      </c>
      <c r="X38" s="348">
        <f t="shared" si="30"/>
        <v>1.1878666024740818</v>
      </c>
      <c r="Y38" s="348">
        <f t="shared" si="31"/>
        <v>1.170958341719976</v>
      </c>
      <c r="Z38" s="348">
        <f t="shared" si="32"/>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21"/>
        <v xml:space="preserve">Van / LCV </v>
      </c>
      <c r="B39" s="898" t="s">
        <v>692</v>
      </c>
      <c r="C39" s="460">
        <v>30266.705966079498</v>
      </c>
      <c r="D39" s="460">
        <v>20700.397697957917</v>
      </c>
      <c r="E39" s="350">
        <f t="shared" si="22"/>
        <v>19045.56947060291</v>
      </c>
      <c r="F39" s="460">
        <v>17390.7412432479</v>
      </c>
      <c r="G39" s="350">
        <f t="shared" si="23"/>
        <v>17563.206557000587</v>
      </c>
      <c r="H39" s="460">
        <v>17735.671870753275</v>
      </c>
      <c r="I39" s="350">
        <f t="shared" si="24"/>
        <v>17824.297653410675</v>
      </c>
      <c r="J39" s="899">
        <v>17912.923436068075</v>
      </c>
      <c r="K39" s="946">
        <f>VehicleCostData2023!AE36</f>
        <v>1600432.9336289039</v>
      </c>
      <c r="L39" s="836">
        <f>VehicleCostData2023!AF36</f>
        <v>1094588.8281386418</v>
      </c>
      <c r="M39" s="836">
        <f>VehicleCostData2023!AG36</f>
        <v>1007085.3648438302</v>
      </c>
      <c r="N39" s="836">
        <f>VehicleCostData2023!AH36</f>
        <v>919581.90154901845</v>
      </c>
      <c r="O39" s="836">
        <f>VehicleCostData2023!AI36</f>
        <v>928701.46574433532</v>
      </c>
      <c r="P39" s="836">
        <f>VehicleCostData2023!AJ36</f>
        <v>937821.0299396523</v>
      </c>
      <c r="Q39" s="836">
        <f>VehicleCostData2023!AK36</f>
        <v>942507.35495607473</v>
      </c>
      <c r="R39" s="947">
        <f>VehicleCostData2023!AL36</f>
        <v>947193.67997249705</v>
      </c>
      <c r="S39" s="348">
        <f t="shared" si="25"/>
        <v>2.6771716145133779</v>
      </c>
      <c r="T39" s="348">
        <f t="shared" si="26"/>
        <v>1.6843567063149421</v>
      </c>
      <c r="U39" s="348">
        <f t="shared" si="27"/>
        <v>1.5216640541484443</v>
      </c>
      <c r="V39" s="348">
        <f t="shared" si="28"/>
        <v>1.3647546258993764</v>
      </c>
      <c r="W39" s="348">
        <f t="shared" si="29"/>
        <v>1.3488330453705932</v>
      </c>
      <c r="X39" s="348">
        <f t="shared" si="30"/>
        <v>1.3335777579576074</v>
      </c>
      <c r="Y39" s="348">
        <f t="shared" si="31"/>
        <v>1.3263367811220979</v>
      </c>
      <c r="Z39" s="348">
        <f t="shared" si="32"/>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21"/>
        <v xml:space="preserve">Van / LCV </v>
      </c>
      <c r="B40" s="898" t="s">
        <v>699</v>
      </c>
      <c r="C40" s="460">
        <v>89397.233323383392</v>
      </c>
      <c r="D40" s="460">
        <v>35742.45176358601</v>
      </c>
      <c r="E40" s="350">
        <f t="shared" si="22"/>
        <v>27438.425753122989</v>
      </c>
      <c r="F40" s="460">
        <v>19134.399742659967</v>
      </c>
      <c r="G40" s="350">
        <f t="shared" si="23"/>
        <v>18221.158014073364</v>
      </c>
      <c r="H40" s="460">
        <v>17307.916285486757</v>
      </c>
      <c r="I40" s="350">
        <f t="shared" si="24"/>
        <v>17072.587033819684</v>
      </c>
      <c r="J40" s="899">
        <v>16837.25778215261</v>
      </c>
      <c r="K40" s="946">
        <f>VehicleCostData2023!AE37</f>
        <v>4426942.2286890121</v>
      </c>
      <c r="L40" s="836">
        <f>VehicleCostData2023!AF37</f>
        <v>1769962.7067509172</v>
      </c>
      <c r="M40" s="836">
        <f>VehicleCostData2023!AG37</f>
        <v>1358748.1529305463</v>
      </c>
      <c r="N40" s="836">
        <f>VehicleCostData2023!AH37</f>
        <v>947533.59911017539</v>
      </c>
      <c r="O40" s="836">
        <f>VehicleCostData2023!AI37</f>
        <v>902309.9582547989</v>
      </c>
      <c r="P40" s="836">
        <f>VehicleCostData2023!AJ37</f>
        <v>857086.31739942229</v>
      </c>
      <c r="Q40" s="836">
        <f>VehicleCostData2023!AK37</f>
        <v>845432.83593112894</v>
      </c>
      <c r="R40" s="947">
        <f>VehicleCostData2023!AL37</f>
        <v>833779.35446283547</v>
      </c>
      <c r="S40" s="348">
        <f t="shared" si="25"/>
        <v>7.9074259266143905</v>
      </c>
      <c r="T40" s="348">
        <f t="shared" si="26"/>
        <v>2.9083034638543888</v>
      </c>
      <c r="U40" s="348">
        <f t="shared" si="27"/>
        <v>2.1922193629018594</v>
      </c>
      <c r="V40" s="348">
        <f t="shared" si="28"/>
        <v>1.5015898515965738</v>
      </c>
      <c r="W40" s="348">
        <f t="shared" si="29"/>
        <v>1.3993629223989856</v>
      </c>
      <c r="X40" s="348">
        <f t="shared" si="30"/>
        <v>1.3014140294836807</v>
      </c>
      <c r="Y40" s="348">
        <f t="shared" si="31"/>
        <v>1.2704006952851989</v>
      </c>
      <c r="Z40" s="348">
        <f t="shared" si="32"/>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21"/>
        <v xml:space="preserve">Van / LCV </v>
      </c>
      <c r="B41" s="898" t="s">
        <v>837</v>
      </c>
      <c r="C41" s="460">
        <v>93147.376244808911</v>
      </c>
      <c r="D41" s="460">
        <v>37446.557579359069</v>
      </c>
      <c r="E41" s="350">
        <f t="shared" si="22"/>
        <v>28874.627869843178</v>
      </c>
      <c r="F41" s="460">
        <v>20302.698160327291</v>
      </c>
      <c r="G41" s="350">
        <f t="shared" si="23"/>
        <v>19342.312720809401</v>
      </c>
      <c r="H41" s="460">
        <v>18381.927281291511</v>
      </c>
      <c r="I41" s="350">
        <f t="shared" si="24"/>
        <v>18103.33880463173</v>
      </c>
      <c r="J41" s="899">
        <v>17824.750327971949</v>
      </c>
      <c r="K41" s="946">
        <f>VehicleCostData2023!AE38</f>
        <v>4843011.8047345728</v>
      </c>
      <c r="L41" s="836">
        <f>VehicleCostData2023!AF38</f>
        <v>1946958.977426009</v>
      </c>
      <c r="M41" s="836">
        <f>VehicleCostData2023!AG38</f>
        <v>1501278.6110415179</v>
      </c>
      <c r="N41" s="836">
        <f>VehicleCostData2023!AH38</f>
        <v>1055598.2446570273</v>
      </c>
      <c r="O41" s="836">
        <f>VehicleCostData2023!AI38</f>
        <v>1005664.9216994785</v>
      </c>
      <c r="P41" s="836">
        <f>VehicleCostData2023!AJ38</f>
        <v>955731.59874192986</v>
      </c>
      <c r="Q41" s="836">
        <f>VehicleCostData2023!AK38</f>
        <v>941246.94726253278</v>
      </c>
      <c r="R41" s="947">
        <f>VehicleCostData2023!AL38</f>
        <v>926762.29578313557</v>
      </c>
      <c r="S41" s="348">
        <f t="shared" si="25"/>
        <v>8.2391361626361252</v>
      </c>
      <c r="T41" s="348">
        <f t="shared" si="26"/>
        <v>3.0469637012541178</v>
      </c>
      <c r="U41" s="348">
        <f t="shared" si="27"/>
        <v>2.3069661095863436</v>
      </c>
      <c r="V41" s="348">
        <f t="shared" si="28"/>
        <v>1.5932731586874349</v>
      </c>
      <c r="W41" s="348">
        <f t="shared" si="29"/>
        <v>1.4854662494031066</v>
      </c>
      <c r="X41" s="348">
        <f t="shared" si="30"/>
        <v>1.3821708897957501</v>
      </c>
      <c r="Y41" s="348">
        <f t="shared" si="31"/>
        <v>1.3471007152477332</v>
      </c>
      <c r="Z41" s="348">
        <f t="shared" si="32"/>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21"/>
        <v xml:space="preserve">Van / LCV </v>
      </c>
      <c r="B42" s="898" t="s">
        <v>836</v>
      </c>
      <c r="C42" s="460">
        <v>63892.000362104511</v>
      </c>
      <c r="D42" s="460">
        <v>28828.821424319947</v>
      </c>
      <c r="E42" s="350">
        <f t="shared" si="22"/>
        <v>23564.877441733282</v>
      </c>
      <c r="F42" s="460">
        <v>18300.933459146618</v>
      </c>
      <c r="G42" s="350">
        <f t="shared" si="23"/>
        <v>17735.79136497252</v>
      </c>
      <c r="H42" s="460">
        <v>17170.649270798422</v>
      </c>
      <c r="I42" s="350">
        <f t="shared" si="24"/>
        <v>16943.796547064114</v>
      </c>
      <c r="J42" s="899">
        <v>16716.943823329806</v>
      </c>
      <c r="K42" s="946">
        <f>VehicleCostData2023!AE39</f>
        <v>3138150.0127574839</v>
      </c>
      <c r="L42" s="836">
        <f>VehicleCostData2023!AF39</f>
        <v>1415970.1654007337</v>
      </c>
      <c r="M42" s="836">
        <f>VehicleCostData2023!AG39</f>
        <v>1157423.7780206515</v>
      </c>
      <c r="N42" s="836">
        <f>VehicleCostData2023!AH39</f>
        <v>898877.39064056962</v>
      </c>
      <c r="O42" s="836">
        <f>VehicleCostData2023!AI39</f>
        <v>871119.6015591349</v>
      </c>
      <c r="P42" s="836">
        <f>VehicleCostData2023!AJ39</f>
        <v>843361.81247770041</v>
      </c>
      <c r="Q42" s="836">
        <f>VehicleCostData2023!AK39</f>
        <v>832219.60572495754</v>
      </c>
      <c r="R42" s="947">
        <f>VehicleCostData2023!AL39</f>
        <v>821077.39897221478</v>
      </c>
      <c r="S42" s="348">
        <f t="shared" si="25"/>
        <v>5.6514194162920681</v>
      </c>
      <c r="T42" s="348">
        <f t="shared" si="26"/>
        <v>2.3457529372007864</v>
      </c>
      <c r="U42" s="348">
        <f t="shared" si="27"/>
        <v>1.8827385024557088</v>
      </c>
      <c r="V42" s="348">
        <f t="shared" si="28"/>
        <v>1.4361828082712849</v>
      </c>
      <c r="W42" s="348">
        <f t="shared" si="29"/>
        <v>1.362087350122176</v>
      </c>
      <c r="X42" s="348">
        <f t="shared" si="30"/>
        <v>1.2910926704157184</v>
      </c>
      <c r="Y42" s="348">
        <f t="shared" si="31"/>
        <v>1.2608171726710642</v>
      </c>
      <c r="Z42" s="348">
        <f t="shared" si="32"/>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21"/>
        <v xml:space="preserve">Van / LCV </v>
      </c>
      <c r="B43" s="898" t="s">
        <v>700</v>
      </c>
      <c r="C43" s="486">
        <v>13192.267722867144</v>
      </c>
      <c r="D43" s="486">
        <v>13865.866014584546</v>
      </c>
      <c r="E43" s="350">
        <f t="shared" si="22"/>
        <v>14011.820937842185</v>
      </c>
      <c r="F43" s="486">
        <v>14157.775861099826</v>
      </c>
      <c r="G43" s="350">
        <f t="shared" si="23"/>
        <v>14366.961685106786</v>
      </c>
      <c r="H43" s="486">
        <v>14576.147509113745</v>
      </c>
      <c r="I43" s="350">
        <f t="shared" si="24"/>
        <v>14667.876634420591</v>
      </c>
      <c r="J43" s="900">
        <v>14759.605759727438</v>
      </c>
      <c r="K43" s="946">
        <f>VehicleCostData2023!AE40</f>
        <v>519120.41439989489</v>
      </c>
      <c r="L43" s="836">
        <f>VehicleCostData2023!AF40</f>
        <v>545626.74611489451</v>
      </c>
      <c r="M43" s="836">
        <f>VehicleCostData2023!AG40</f>
        <v>551370.12411759188</v>
      </c>
      <c r="N43" s="836">
        <f>VehicleCostData2023!AH40</f>
        <v>557113.50212028937</v>
      </c>
      <c r="O43" s="836">
        <f>VehicleCostData2023!AI40</f>
        <v>565345.03849646868</v>
      </c>
      <c r="P43" s="836">
        <f>VehicleCostData2023!AJ40</f>
        <v>573576.57487264799</v>
      </c>
      <c r="Q43" s="836">
        <f>VehicleCostData2023!AK40</f>
        <v>577186.14849123731</v>
      </c>
      <c r="R43" s="947">
        <f>VehicleCostData2023!AL40</f>
        <v>580795.72210982675</v>
      </c>
      <c r="S43" s="348">
        <f t="shared" si="25"/>
        <v>1.166891590987883</v>
      </c>
      <c r="T43" s="348">
        <f t="shared" si="26"/>
        <v>1.12824230487291</v>
      </c>
      <c r="U43" s="348">
        <f t="shared" si="27"/>
        <v>1.1194878833730166</v>
      </c>
      <c r="V43" s="348">
        <f t="shared" si="28"/>
        <v>1.1110446546598123</v>
      </c>
      <c r="W43" s="348">
        <f t="shared" si="29"/>
        <v>1.1033653006102699</v>
      </c>
      <c r="X43" s="348">
        <f t="shared" si="30"/>
        <v>1.0960073154554633</v>
      </c>
      <c r="Y43" s="348">
        <f t="shared" si="31"/>
        <v>1.0914620401590305</v>
      </c>
      <c r="Z43" s="348">
        <f t="shared" si="32"/>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21"/>
        <v xml:space="preserve">Van / LCV </v>
      </c>
      <c r="B44" s="901"/>
      <c r="C44" s="475"/>
      <c r="D44" s="475"/>
      <c r="E44" s="476"/>
      <c r="F44" s="475"/>
      <c r="G44" s="475"/>
      <c r="H44" s="475"/>
      <c r="I44" s="475"/>
      <c r="J44" s="902"/>
      <c r="K44" s="948">
        <f>VehicleCostData2023!AE41</f>
        <v>0</v>
      </c>
      <c r="L44" s="475">
        <f>VehicleCostData2023!AF41</f>
        <v>0</v>
      </c>
      <c r="M44" s="475">
        <f>VehicleCostData2023!AG41</f>
        <v>0</v>
      </c>
      <c r="N44" s="475">
        <f>VehicleCostData2023!AH41</f>
        <v>0</v>
      </c>
      <c r="O44" s="475">
        <f>VehicleCostData2023!AI41</f>
        <v>0</v>
      </c>
      <c r="P44" s="475">
        <f>VehicleCostData2023!AJ41</f>
        <v>0</v>
      </c>
      <c r="Q44" s="475">
        <f>VehicleCostData2023!AK41</f>
        <v>0</v>
      </c>
      <c r="R44" s="949">
        <f>VehicleCostData2023!AL41</f>
        <v>0</v>
      </c>
      <c r="AB44" s="482"/>
      <c r="AE44" s="481"/>
      <c r="AF44" s="481"/>
    </row>
    <row r="45" spans="1:43" x14ac:dyDescent="0.2">
      <c r="A45" s="340" t="str">
        <f t="shared" si="21"/>
        <v xml:space="preserve">Van / LCV </v>
      </c>
      <c r="B45" s="892" t="s">
        <v>832</v>
      </c>
      <c r="C45" s="474" t="s">
        <v>831</v>
      </c>
      <c r="D45" s="473">
        <v>0.08</v>
      </c>
      <c r="E45" s="472"/>
      <c r="F45" s="471"/>
      <c r="G45" s="471"/>
      <c r="H45" s="471"/>
      <c r="I45" s="471"/>
      <c r="J45" s="893"/>
      <c r="K45" s="950">
        <f>VehicleCostData2023!AE42</f>
        <v>0</v>
      </c>
      <c r="L45" s="471">
        <f>VehicleCostData2023!AF42</f>
        <v>0</v>
      </c>
      <c r="M45" s="471">
        <f>VehicleCostData2023!AG42</f>
        <v>0</v>
      </c>
      <c r="N45" s="471">
        <f>VehicleCostData2023!AH42</f>
        <v>0</v>
      </c>
      <c r="O45" s="471">
        <f>VehicleCostData2023!AI42</f>
        <v>0</v>
      </c>
      <c r="P45" s="471">
        <f>VehicleCostData2023!AJ42</f>
        <v>0</v>
      </c>
      <c r="Q45" s="471">
        <f>VehicleCostData2023!AK42</f>
        <v>0</v>
      </c>
      <c r="R45" s="941">
        <f>VehicleCostData2023!AL42</f>
        <v>0</v>
      </c>
      <c r="AB45" s="470" t="s">
        <v>816</v>
      </c>
      <c r="AC45" s="340" t="s">
        <v>834</v>
      </c>
      <c r="AE45" s="481"/>
      <c r="AF45" s="481"/>
    </row>
    <row r="46" spans="1:43" x14ac:dyDescent="0.2">
      <c r="A46" s="340" t="str">
        <f>B46</f>
        <v>Small Rigid Truck</v>
      </c>
      <c r="B46" s="894" t="s">
        <v>725</v>
      </c>
      <c r="C46" s="369">
        <v>2010</v>
      </c>
      <c r="D46" s="369">
        <v>2020</v>
      </c>
      <c r="E46" s="372"/>
      <c r="F46" s="369">
        <v>2030</v>
      </c>
      <c r="G46" s="369"/>
      <c r="H46" s="369">
        <v>2040</v>
      </c>
      <c r="I46" s="369"/>
      <c r="J46" s="895">
        <v>2050</v>
      </c>
      <c r="K46" s="942">
        <f>VehicleCostData2023!AE43</f>
        <v>2010</v>
      </c>
      <c r="L46" s="371">
        <f>VehicleCostData2023!AF43</f>
        <v>2020</v>
      </c>
      <c r="M46" s="371">
        <f>VehicleCostData2023!AG43</f>
        <v>0</v>
      </c>
      <c r="N46" s="371">
        <f>VehicleCostData2023!AH43</f>
        <v>2030</v>
      </c>
      <c r="O46" s="371">
        <f>VehicleCostData2023!AI43</f>
        <v>0</v>
      </c>
      <c r="P46" s="371">
        <f>VehicleCostData2023!AJ43</f>
        <v>2040</v>
      </c>
      <c r="Q46" s="371">
        <f>VehicleCostData2023!AK43</f>
        <v>0</v>
      </c>
      <c r="R46" s="943">
        <f>VehicleCostData2023!AL43</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896" t="s">
        <v>791</v>
      </c>
      <c r="C47" s="466" t="s">
        <v>193</v>
      </c>
      <c r="D47" s="466" t="s">
        <v>193</v>
      </c>
      <c r="E47" s="480"/>
      <c r="F47" s="466" t="s">
        <v>193</v>
      </c>
      <c r="G47" s="466"/>
      <c r="H47" s="466" t="s">
        <v>193</v>
      </c>
      <c r="I47" s="466"/>
      <c r="J47" s="897" t="s">
        <v>193</v>
      </c>
      <c r="K47" s="908" t="s">
        <v>1360</v>
      </c>
      <c r="L47" s="340" t="s">
        <v>1360</v>
      </c>
      <c r="M47" s="340" t="s">
        <v>1360</v>
      </c>
      <c r="N47" s="340" t="s">
        <v>1360</v>
      </c>
      <c r="O47" s="340" t="s">
        <v>1360</v>
      </c>
      <c r="P47" s="340" t="s">
        <v>1360</v>
      </c>
      <c r="Q47" s="340" t="s">
        <v>1360</v>
      </c>
      <c r="R47" s="938" t="s">
        <v>1360</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898"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899">
        <v>40824.618068870353</v>
      </c>
      <c r="K48" s="946">
        <f>VehicleCostData2023!AE45</f>
        <v>396204.1631410002</v>
      </c>
      <c r="L48" s="836">
        <f>VehicleCostData2023!AF45</f>
        <v>476747.78352540621</v>
      </c>
      <c r="M48" s="836">
        <f>VehicleCostData2023!AG45</f>
        <v>491831.97524024436</v>
      </c>
      <c r="N48" s="836">
        <f>VehicleCostData2023!AH45</f>
        <v>506916.16695508256</v>
      </c>
      <c r="O48" s="836">
        <f>VehicleCostData2023!AI45</f>
        <v>520424.31194208184</v>
      </c>
      <c r="P48" s="836">
        <f>VehicleCostData2023!AJ45</f>
        <v>533932.45692908112</v>
      </c>
      <c r="Q48" s="836">
        <f>VehicleCostData2023!AK45</f>
        <v>542801.8190398945</v>
      </c>
      <c r="R48" s="947">
        <f>VehicleCostData2023!AL45</f>
        <v>551671.18115070788</v>
      </c>
      <c r="S48" s="348">
        <f t="shared" ref="S48:S56" si="33">C48/C$48</f>
        <v>1</v>
      </c>
      <c r="T48" s="348">
        <f t="shared" ref="T48:T56" si="34">D48/D$48</f>
        <v>1</v>
      </c>
      <c r="U48" s="348">
        <f t="shared" ref="U48:U56" si="35">E48/E$48</f>
        <v>1</v>
      </c>
      <c r="V48" s="348">
        <f t="shared" ref="V48:V56" si="36">F48/F$48</f>
        <v>1</v>
      </c>
      <c r="W48" s="348">
        <f t="shared" ref="W48:W56" si="37">G48/G$48</f>
        <v>1</v>
      </c>
      <c r="X48" s="348">
        <f t="shared" ref="X48:X56" si="38">H48/H$48</f>
        <v>1</v>
      </c>
      <c r="Y48" s="348">
        <f t="shared" ref="Y48:Y56" si="39">I48/I$48</f>
        <v>1</v>
      </c>
      <c r="Z48" s="348">
        <f t="shared" ref="Z48:Z56" si="40">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90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899">
        <f>J48*'Vehicle data-proc2023'!$H$102</f>
        <v>32165.176311322364</v>
      </c>
      <c r="K49" s="946">
        <f>VehicleCostData2023!AE46</f>
        <v>312164.0168491315</v>
      </c>
      <c r="L49" s="836">
        <f>VehicleCostData2023!AF46</f>
        <v>375623.26945122989</v>
      </c>
      <c r="M49" s="836">
        <f>VehicleCostData2023!AG46</f>
        <v>387507.90448206</v>
      </c>
      <c r="N49" s="836">
        <f>VehicleCostData2023!AH46</f>
        <v>399392.53951289022</v>
      </c>
      <c r="O49" s="836">
        <f>VehicleCostData2023!AI46</f>
        <v>410035.42818395526</v>
      </c>
      <c r="P49" s="836">
        <f>VehicleCostData2023!AJ46</f>
        <v>420678.31685502018</v>
      </c>
      <c r="Q49" s="836">
        <f>VehicleCostData2023!AK46</f>
        <v>427666.36988669843</v>
      </c>
      <c r="R49" s="947">
        <f>VehicleCostData2023!AL46</f>
        <v>434654.42291837675</v>
      </c>
      <c r="S49" s="348">
        <f t="shared" si="33"/>
        <v>0.78788676619240683</v>
      </c>
      <c r="T49" s="348">
        <f t="shared" si="34"/>
        <v>0.78788676619240683</v>
      </c>
      <c r="U49" s="348">
        <f t="shared" si="35"/>
        <v>0.78788676619240683</v>
      </c>
      <c r="V49" s="348">
        <f t="shared" si="36"/>
        <v>0.78788676619240683</v>
      </c>
      <c r="W49" s="348">
        <f t="shared" si="37"/>
        <v>0.78788676619240683</v>
      </c>
      <c r="X49" s="348">
        <f t="shared" si="38"/>
        <v>0.78788676619240683</v>
      </c>
      <c r="Y49" s="348">
        <f t="shared" si="39"/>
        <v>0.78788676619240683</v>
      </c>
      <c r="Z49" s="348">
        <f t="shared" si="40"/>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898" t="s">
        <v>829</v>
      </c>
      <c r="C50" s="460">
        <v>35669.354783651295</v>
      </c>
      <c r="D50" s="460">
        <v>39884.927570945212</v>
      </c>
      <c r="E50" s="350">
        <f t="shared" ref="E50:E56" si="41">AVERAGE(D50,F50)</f>
        <v>40227.826617070168</v>
      </c>
      <c r="F50" s="460">
        <v>40570.725663195117</v>
      </c>
      <c r="G50" s="350">
        <f t="shared" ref="G50:G56" si="42">AVERAGE(F50,H50)</f>
        <v>41186.286477136309</v>
      </c>
      <c r="H50" s="460">
        <v>41801.847291077502</v>
      </c>
      <c r="I50" s="350">
        <f t="shared" ref="I50:I56" si="43">AVERAGE(H50,J50)</f>
        <v>42208.318748892634</v>
      </c>
      <c r="J50" s="899">
        <v>42614.790206707767</v>
      </c>
      <c r="K50" s="946">
        <f>VehicleCostData2023!AE47</f>
        <v>482007.08335310238</v>
      </c>
      <c r="L50" s="836">
        <f>VehicleCostData2023!AF47</f>
        <v>538972.95661295648</v>
      </c>
      <c r="M50" s="836">
        <f>VehicleCostData2023!AG47</f>
        <v>543606.61960208917</v>
      </c>
      <c r="N50" s="836">
        <f>VehicleCostData2023!AH47</f>
        <v>548240.28259122185</v>
      </c>
      <c r="O50" s="836">
        <f>VehicleCostData2023!AI47</f>
        <v>556558.47826237674</v>
      </c>
      <c r="P50" s="836">
        <f>VehicleCostData2023!AJ47</f>
        <v>564876.67393353162</v>
      </c>
      <c r="Q50" s="836">
        <f>VehicleCostData2023!AK47</f>
        <v>570369.40356197883</v>
      </c>
      <c r="R50" s="947">
        <f>VehicleCostData2023!AL47</f>
        <v>575862.13319042593</v>
      </c>
      <c r="S50" s="348">
        <f t="shared" si="33"/>
        <v>1.2165623892790012</v>
      </c>
      <c r="T50" s="348">
        <f t="shared" si="34"/>
        <v>1.1305201098732205</v>
      </c>
      <c r="U50" s="348">
        <f t="shared" si="35"/>
        <v>1.1052689677944478</v>
      </c>
      <c r="V50" s="348">
        <f t="shared" si="36"/>
        <v>1.0815206109609068</v>
      </c>
      <c r="W50" s="348">
        <f t="shared" si="37"/>
        <v>1.0694321258464121</v>
      </c>
      <c r="X50" s="348">
        <f t="shared" si="38"/>
        <v>1.0579553024036537</v>
      </c>
      <c r="Y50" s="348">
        <f t="shared" si="39"/>
        <v>1.0507875684183334</v>
      </c>
      <c r="Z50" s="348">
        <f t="shared" si="40"/>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44">A50</f>
        <v>Small Rigid Truck</v>
      </c>
      <c r="B51" s="898" t="s">
        <v>828</v>
      </c>
      <c r="C51" s="460">
        <v>36209.955757295749</v>
      </c>
      <c r="D51" s="460">
        <v>38227.4132830854</v>
      </c>
      <c r="E51" s="350">
        <f t="shared" si="41"/>
        <v>38919.452372247106</v>
      </c>
      <c r="F51" s="460">
        <v>39611.491461408819</v>
      </c>
      <c r="G51" s="350">
        <f t="shared" si="42"/>
        <v>40485.614094740085</v>
      </c>
      <c r="H51" s="460">
        <v>41359.736728071344</v>
      </c>
      <c r="I51" s="350">
        <f t="shared" si="43"/>
        <v>41811.402311297265</v>
      </c>
      <c r="J51" s="899">
        <v>42263.067894523185</v>
      </c>
      <c r="K51" s="946">
        <f>VehicleCostData2023!AE48</f>
        <v>489312.33179801231</v>
      </c>
      <c r="L51" s="836">
        <f>VehicleCostData2023!AF48</f>
        <v>516574.63647643448</v>
      </c>
      <c r="M51" s="836">
        <f>VehicleCostData2023!AG48</f>
        <v>525926.2982868707</v>
      </c>
      <c r="N51" s="836">
        <f>VehicleCostData2023!AH48</f>
        <v>535277.96009730699</v>
      </c>
      <c r="O51" s="836">
        <f>VehicleCostData2023!AI48</f>
        <v>547090.1530438991</v>
      </c>
      <c r="P51" s="836">
        <f>VehicleCostData2023!AJ48</f>
        <v>558902.3459904911</v>
      </c>
      <c r="Q51" s="836">
        <f>VehicleCostData2023!AK48</f>
        <v>565005.7928215923</v>
      </c>
      <c r="R51" s="947">
        <f>VehicleCostData2023!AL48</f>
        <v>571109.23965269362</v>
      </c>
      <c r="S51" s="348">
        <f t="shared" si="33"/>
        <v>1.2350004803555712</v>
      </c>
      <c r="T51" s="348">
        <f t="shared" si="34"/>
        <v>1.0835386221547183</v>
      </c>
      <c r="U51" s="348">
        <f t="shared" si="35"/>
        <v>1.0693210786671046</v>
      </c>
      <c r="V51" s="348">
        <f t="shared" si="36"/>
        <v>1.0559496717427392</v>
      </c>
      <c r="W51" s="348">
        <f t="shared" si="37"/>
        <v>1.0512386537099077</v>
      </c>
      <c r="X51" s="348">
        <f t="shared" si="38"/>
        <v>1.046766007080792</v>
      </c>
      <c r="Y51" s="348">
        <f t="shared" si="39"/>
        <v>1.0409062258136355</v>
      </c>
      <c r="Z51" s="348">
        <f t="shared" si="40"/>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44"/>
        <v>Small Rigid Truck</v>
      </c>
      <c r="B52" s="898" t="s">
        <v>689</v>
      </c>
      <c r="C52" s="460">
        <v>37168.384735655469</v>
      </c>
      <c r="D52" s="460">
        <v>38999.227156820401</v>
      </c>
      <c r="E52" s="350">
        <f t="shared" si="41"/>
        <v>39111.830061309956</v>
      </c>
      <c r="F52" s="460">
        <v>39224.432965799504</v>
      </c>
      <c r="G52" s="350">
        <f t="shared" si="42"/>
        <v>39512.013612509909</v>
      </c>
      <c r="H52" s="460">
        <v>39799.594259220306</v>
      </c>
      <c r="I52" s="350">
        <f t="shared" si="43"/>
        <v>40104.585122615928</v>
      </c>
      <c r="J52" s="899">
        <v>40409.575986011558</v>
      </c>
      <c r="K52" s="946">
        <f>VehicleCostData2023!AE49</f>
        <v>502263.77314766083</v>
      </c>
      <c r="L52" s="836">
        <f>VehicleCostData2023!AF49</f>
        <v>527004.31081248343</v>
      </c>
      <c r="M52" s="836">
        <f>VehicleCostData2023!AG49</f>
        <v>528525.93624976149</v>
      </c>
      <c r="N52" s="836">
        <f>VehicleCostData2023!AH49</f>
        <v>530047.56168703933</v>
      </c>
      <c r="O52" s="836">
        <f>VehicleCostData2023!AI49</f>
        <v>533933.696145889</v>
      </c>
      <c r="P52" s="836">
        <f>VehicleCostData2023!AJ49</f>
        <v>537819.83060473856</v>
      </c>
      <c r="Q52" s="836">
        <f>VehicleCostData2023!AK49</f>
        <v>541941.2327833405</v>
      </c>
      <c r="R52" s="947">
        <f>VehicleCostData2023!AL49</f>
        <v>546062.63496194268</v>
      </c>
      <c r="S52" s="348">
        <f t="shared" si="33"/>
        <v>1.2676892871741894</v>
      </c>
      <c r="T52" s="348">
        <f t="shared" si="34"/>
        <v>1.1054153349501603</v>
      </c>
      <c r="U52" s="348">
        <f t="shared" si="35"/>
        <v>1.0746067007774214</v>
      </c>
      <c r="V52" s="348">
        <f t="shared" si="36"/>
        <v>1.0456315979640207</v>
      </c>
      <c r="W52" s="348">
        <f t="shared" si="37"/>
        <v>1.0259584033524372</v>
      </c>
      <c r="X52" s="348">
        <f t="shared" si="38"/>
        <v>1.0072806468781008</v>
      </c>
      <c r="Y52" s="348">
        <f t="shared" si="39"/>
        <v>0.99841454795034379</v>
      </c>
      <c r="Z52" s="348">
        <f t="shared" si="40"/>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44"/>
        <v>Small Rigid Truck</v>
      </c>
      <c r="B53" s="898" t="s">
        <v>692</v>
      </c>
      <c r="C53" s="460">
        <v>98258.953517306407</v>
      </c>
      <c r="D53" s="460">
        <v>64495.792840614806</v>
      </c>
      <c r="E53" s="350">
        <f t="shared" si="41"/>
        <v>58565.260766379783</v>
      </c>
      <c r="F53" s="460">
        <v>52634.728692144752</v>
      </c>
      <c r="G53" s="350">
        <f t="shared" si="42"/>
        <v>53056.923719918734</v>
      </c>
      <c r="H53" s="460">
        <v>53479.118747692715</v>
      </c>
      <c r="I53" s="350">
        <f t="shared" si="43"/>
        <v>53610.51498168605</v>
      </c>
      <c r="J53" s="899">
        <v>53741.911215679378</v>
      </c>
      <c r="K53" s="946">
        <f>VehicleCostData2023!AE50</f>
        <v>1327792.7757726812</v>
      </c>
      <c r="L53" s="836">
        <f>VehicleCostData2023!AF50</f>
        <v>871544.47239677189</v>
      </c>
      <c r="M53" s="836">
        <f>VehicleCostData2023!AG50</f>
        <v>791404.01330598292</v>
      </c>
      <c r="N53" s="836">
        <f>VehicleCostData2023!AH50</f>
        <v>711263.55421519373</v>
      </c>
      <c r="O53" s="836">
        <f>VehicleCostData2023!AI50</f>
        <v>716968.75957082282</v>
      </c>
      <c r="P53" s="836">
        <f>VehicleCostData2023!AJ50</f>
        <v>722673.96492645168</v>
      </c>
      <c r="Q53" s="836">
        <f>VehicleCostData2023!AK50</f>
        <v>724449.54836200469</v>
      </c>
      <c r="R53" s="947">
        <f>VehicleCostData2023!AL50</f>
        <v>726225.13179755735</v>
      </c>
      <c r="S53" s="348">
        <f t="shared" si="33"/>
        <v>3.3512842602316359</v>
      </c>
      <c r="T53" s="348">
        <f t="shared" si="34"/>
        <v>1.8281038790615101</v>
      </c>
      <c r="U53" s="348">
        <f t="shared" si="35"/>
        <v>1.6090942702930351</v>
      </c>
      <c r="V53" s="348">
        <f t="shared" si="36"/>
        <v>1.4031187020283344</v>
      </c>
      <c r="W53" s="348">
        <f t="shared" si="37"/>
        <v>1.3776619253149238</v>
      </c>
      <c r="X53" s="348">
        <f t="shared" si="38"/>
        <v>1.3534932284935812</v>
      </c>
      <c r="Y53" s="348">
        <f t="shared" si="39"/>
        <v>1.3346483430055707</v>
      </c>
      <c r="Z53" s="348">
        <f t="shared" si="40"/>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44"/>
        <v>Small Rigid Truck</v>
      </c>
      <c r="B54" s="898" t="s">
        <v>699</v>
      </c>
      <c r="C54" s="460">
        <v>186705.6549520159</v>
      </c>
      <c r="D54" s="460">
        <v>79994.586312453306</v>
      </c>
      <c r="E54" s="350">
        <f t="shared" si="41"/>
        <v>63025.263123564284</v>
      </c>
      <c r="F54" s="460">
        <v>46055.939934675262</v>
      </c>
      <c r="G54" s="350">
        <f t="shared" si="42"/>
        <v>43953.965599473762</v>
      </c>
      <c r="H54" s="460">
        <v>41851.991264272263</v>
      </c>
      <c r="I54" s="350">
        <f t="shared" si="43"/>
        <v>41106.818849390285</v>
      </c>
      <c r="J54" s="899">
        <v>40361.6464345083</v>
      </c>
      <c r="K54" s="946">
        <f>VehicleCostData2023!AE51</f>
        <v>2522990.6381765995</v>
      </c>
      <c r="L54" s="836">
        <f>VehicleCostData2023!AF51</f>
        <v>1080982.7502171779</v>
      </c>
      <c r="M54" s="836">
        <f>VehicleCostData2023!AG51</f>
        <v>851672.91194386315</v>
      </c>
      <c r="N54" s="836">
        <f>VehicleCostData2023!AH51</f>
        <v>622363.07367054839</v>
      </c>
      <c r="O54" s="836">
        <f>VehicleCostData2023!AI51</f>
        <v>593958.67654201027</v>
      </c>
      <c r="P54" s="836">
        <f>VehicleCostData2023!AJ51</f>
        <v>565554.27941347216</v>
      </c>
      <c r="Q54" s="836">
        <f>VehicleCostData2023!AK51</f>
        <v>555484.61640804331</v>
      </c>
      <c r="R54" s="947">
        <f>VehicleCostData2023!AL51</f>
        <v>545414.95340261445</v>
      </c>
      <c r="S54" s="348">
        <f t="shared" si="33"/>
        <v>6.3679054207179622</v>
      </c>
      <c r="T54" s="348">
        <f t="shared" si="34"/>
        <v>2.267410122441758</v>
      </c>
      <c r="U54" s="348">
        <f t="shared" si="35"/>
        <v>1.7316338807127127</v>
      </c>
      <c r="V54" s="348">
        <f t="shared" si="36"/>
        <v>1.2277435880747822</v>
      </c>
      <c r="W54" s="348">
        <f t="shared" si="37"/>
        <v>1.1412969434988889</v>
      </c>
      <c r="X54" s="348">
        <f t="shared" si="38"/>
        <v>1.0592243870437554</v>
      </c>
      <c r="Y54" s="348">
        <f t="shared" si="39"/>
        <v>1.0233654290079244</v>
      </c>
      <c r="Z54" s="348">
        <f t="shared" si="40"/>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44"/>
        <v>Small Rigid Truck</v>
      </c>
      <c r="B55" s="898" t="s">
        <v>827</v>
      </c>
      <c r="C55" s="460">
        <v>46317.339930537317</v>
      </c>
      <c r="D55" s="460">
        <v>45451.674961545068</v>
      </c>
      <c r="E55" s="350">
        <f t="shared" si="41"/>
        <v>45628.700300804441</v>
      </c>
      <c r="F55" s="460">
        <v>45805.725640063807</v>
      </c>
      <c r="G55" s="350">
        <f t="shared" si="42"/>
        <v>46283.513838402505</v>
      </c>
      <c r="H55" s="460">
        <v>46761.302036741195</v>
      </c>
      <c r="I55" s="350">
        <f t="shared" si="43"/>
        <v>47093.283384632814</v>
      </c>
      <c r="J55" s="899">
        <v>47425.264732524425</v>
      </c>
      <c r="K55" s="946">
        <f>VehicleCostData2023!AE52</f>
        <v>625895.42378896789</v>
      </c>
      <c r="L55" s="836">
        <f>VehicleCostData2023!AF52</f>
        <v>614197.52094223199</v>
      </c>
      <c r="M55" s="836">
        <f>VehicleCostData2023!AG52</f>
        <v>616589.69954971026</v>
      </c>
      <c r="N55" s="836">
        <f>VehicleCostData2023!AH52</f>
        <v>618981.87815718842</v>
      </c>
      <c r="O55" s="836">
        <f>VehicleCostData2023!AI52</f>
        <v>625438.32508028566</v>
      </c>
      <c r="P55" s="836">
        <f>VehicleCostData2023!AJ52</f>
        <v>631894.77200338279</v>
      </c>
      <c r="Q55" s="836">
        <f>VehicleCostData2023!AK52</f>
        <v>636380.90196551534</v>
      </c>
      <c r="R55" s="947">
        <f>VehicleCostData2023!AL52</f>
        <v>640867.03192764765</v>
      </c>
      <c r="S55" s="348">
        <f t="shared" si="33"/>
        <v>1.5797295485919105</v>
      </c>
      <c r="T55" s="348">
        <f t="shared" si="34"/>
        <v>1.2883070297682906</v>
      </c>
      <c r="U55" s="348">
        <f t="shared" si="35"/>
        <v>1.2536592385001522</v>
      </c>
      <c r="V55" s="348">
        <f t="shared" si="36"/>
        <v>1.2210734604801745</v>
      </c>
      <c r="W55" s="348">
        <f t="shared" si="37"/>
        <v>1.2017853715294742</v>
      </c>
      <c r="X55" s="348">
        <f t="shared" si="38"/>
        <v>1.1834732348689445</v>
      </c>
      <c r="Y55" s="348">
        <f t="shared" si="39"/>
        <v>1.1724000908676822</v>
      </c>
      <c r="Z55" s="348">
        <f t="shared" si="40"/>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44"/>
        <v>Small Rigid Truck</v>
      </c>
      <c r="B56" s="898" t="s">
        <v>700</v>
      </c>
      <c r="C56" s="460">
        <v>44275.919735739342</v>
      </c>
      <c r="D56" s="460">
        <v>43586.340712469508</v>
      </c>
      <c r="E56" s="350">
        <f t="shared" si="41"/>
        <v>43737.618689486233</v>
      </c>
      <c r="F56" s="460">
        <v>43888.896666502958</v>
      </c>
      <c r="G56" s="350">
        <f t="shared" si="42"/>
        <v>44371.661420226636</v>
      </c>
      <c r="H56" s="460">
        <v>44854.426173950313</v>
      </c>
      <c r="I56" s="350">
        <f t="shared" si="43"/>
        <v>45190.948956767446</v>
      </c>
      <c r="J56" s="899">
        <v>45527.471739584573</v>
      </c>
      <c r="K56" s="946">
        <f>VehicleCostData2023!AE53</f>
        <v>598309.30679972272</v>
      </c>
      <c r="L56" s="836">
        <f>VehicleCostData2023!AF53</f>
        <v>588990.88834881992</v>
      </c>
      <c r="M56" s="836">
        <f>VehicleCostData2023!AG53</f>
        <v>591035.13773094804</v>
      </c>
      <c r="N56" s="836">
        <f>VehicleCostData2023!AH53</f>
        <v>593079.38711307617</v>
      </c>
      <c r="O56" s="836">
        <f>VehicleCostData2023!AI53</f>
        <v>599603.08321858256</v>
      </c>
      <c r="P56" s="836">
        <f>VehicleCostData2023!AJ53</f>
        <v>606126.77932408883</v>
      </c>
      <c r="Q56" s="836">
        <f>VehicleCostData2023!AK53</f>
        <v>610674.27859934629</v>
      </c>
      <c r="R56" s="947">
        <f>VehicleCostData2023!AL53</f>
        <v>615221.77787460363</v>
      </c>
      <c r="S56" s="348">
        <f t="shared" si="33"/>
        <v>1.5101035336339914</v>
      </c>
      <c r="T56" s="348">
        <f t="shared" si="34"/>
        <v>1.2354349798826749</v>
      </c>
      <c r="U56" s="348">
        <f t="shared" si="35"/>
        <v>1.2017013278615045</v>
      </c>
      <c r="V56" s="348">
        <f t="shared" si="36"/>
        <v>1.1699752854116976</v>
      </c>
      <c r="W56" s="348">
        <f t="shared" si="37"/>
        <v>1.1521427217360913</v>
      </c>
      <c r="X56" s="348">
        <f t="shared" si="38"/>
        <v>1.1352124626591058</v>
      </c>
      <c r="Y56" s="348">
        <f t="shared" si="39"/>
        <v>1.1250409581889473</v>
      </c>
      <c r="Z56" s="348">
        <f t="shared" si="40"/>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44"/>
        <v>Small Rigid Truck</v>
      </c>
      <c r="B57" s="901"/>
      <c r="C57" s="475"/>
      <c r="D57" s="475"/>
      <c r="E57" s="476"/>
      <c r="F57" s="475"/>
      <c r="G57" s="475"/>
      <c r="H57" s="475"/>
      <c r="I57" s="475"/>
      <c r="J57" s="902"/>
      <c r="K57" s="948">
        <f>VehicleCostData2023!AE54</f>
        <v>0</v>
      </c>
      <c r="L57" s="475">
        <f>VehicleCostData2023!AF54</f>
        <v>0</v>
      </c>
      <c r="M57" s="475">
        <f>VehicleCostData2023!AG54</f>
        <v>0</v>
      </c>
      <c r="N57" s="475">
        <f>VehicleCostData2023!AH54</f>
        <v>0</v>
      </c>
      <c r="O57" s="475">
        <f>VehicleCostData2023!AI54</f>
        <v>0</v>
      </c>
      <c r="P57" s="475">
        <f>VehicleCostData2023!AJ54</f>
        <v>0</v>
      </c>
      <c r="Q57" s="475">
        <f>VehicleCostData2023!AK54</f>
        <v>0</v>
      </c>
      <c r="R57" s="949">
        <f>VehicleCostData2023!AL54</f>
        <v>0</v>
      </c>
    </row>
    <row r="58" spans="1:33" x14ac:dyDescent="0.2">
      <c r="A58" s="340" t="str">
        <f t="shared" si="44"/>
        <v>Small Rigid Truck</v>
      </c>
      <c r="B58" s="892" t="s">
        <v>832</v>
      </c>
      <c r="C58" s="474" t="s">
        <v>831</v>
      </c>
      <c r="D58" s="473">
        <v>0.08</v>
      </c>
      <c r="E58" s="472"/>
      <c r="F58" s="471"/>
      <c r="G58" s="471"/>
      <c r="H58" s="471"/>
      <c r="I58" s="471"/>
      <c r="J58" s="893"/>
      <c r="K58" s="950">
        <f>VehicleCostData2023!AE55</f>
        <v>0</v>
      </c>
      <c r="L58" s="471">
        <f>VehicleCostData2023!AF55</f>
        <v>0</v>
      </c>
      <c r="M58" s="471">
        <f>VehicleCostData2023!AG55</f>
        <v>0</v>
      </c>
      <c r="N58" s="471">
        <f>VehicleCostData2023!AH55</f>
        <v>0</v>
      </c>
      <c r="O58" s="471">
        <f>VehicleCostData2023!AI55</f>
        <v>0</v>
      </c>
      <c r="P58" s="471">
        <f>VehicleCostData2023!AJ55</f>
        <v>0</v>
      </c>
      <c r="Q58" s="471">
        <f>VehicleCostData2023!AK55</f>
        <v>0</v>
      </c>
      <c r="R58" s="941">
        <f>VehicleCostData2023!AL55</f>
        <v>0</v>
      </c>
      <c r="T58" s="471"/>
      <c r="U58" s="471"/>
      <c r="V58" s="471"/>
      <c r="W58" s="471"/>
      <c r="X58" s="471"/>
      <c r="Y58" s="471"/>
      <c r="Z58" s="471"/>
      <c r="AA58" s="471"/>
      <c r="AB58" s="470" t="s">
        <v>816</v>
      </c>
      <c r="AC58" s="340" t="s">
        <v>834</v>
      </c>
    </row>
    <row r="59" spans="1:33" x14ac:dyDescent="0.2">
      <c r="A59" s="340" t="str">
        <f>B59</f>
        <v>Large Rigid Truck</v>
      </c>
      <c r="B59" s="894" t="s">
        <v>735</v>
      </c>
      <c r="C59" s="369">
        <v>2010</v>
      </c>
      <c r="D59" s="369">
        <v>2020</v>
      </c>
      <c r="E59" s="372"/>
      <c r="F59" s="369">
        <v>2030</v>
      </c>
      <c r="G59" s="369"/>
      <c r="H59" s="369">
        <v>2040</v>
      </c>
      <c r="I59" s="369"/>
      <c r="J59" s="895">
        <v>2050</v>
      </c>
      <c r="K59" s="942">
        <f>VehicleCostData2023!AE56</f>
        <v>2010</v>
      </c>
      <c r="L59" s="371">
        <f>VehicleCostData2023!AF56</f>
        <v>2020</v>
      </c>
      <c r="M59" s="371">
        <f>VehicleCostData2023!AG56</f>
        <v>0</v>
      </c>
      <c r="N59" s="371">
        <f>VehicleCostData2023!AH56</f>
        <v>2030</v>
      </c>
      <c r="O59" s="371">
        <f>VehicleCostData2023!AI56</f>
        <v>0</v>
      </c>
      <c r="P59" s="371">
        <f>VehicleCostData2023!AJ56</f>
        <v>2040</v>
      </c>
      <c r="Q59" s="371">
        <f>VehicleCostData2023!AK56</f>
        <v>0</v>
      </c>
      <c r="R59" s="943">
        <f>VehicleCostData2023!AL56</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45">A59</f>
        <v>Large Rigid Truck</v>
      </c>
      <c r="B60" s="896" t="s">
        <v>791</v>
      </c>
      <c r="C60" s="466" t="s">
        <v>193</v>
      </c>
      <c r="D60" s="467"/>
      <c r="E60" s="468"/>
      <c r="F60" s="467"/>
      <c r="G60" s="467"/>
      <c r="H60" s="467"/>
      <c r="I60" s="466"/>
      <c r="J60" s="897" t="s">
        <v>193</v>
      </c>
      <c r="K60" s="908" t="s">
        <v>1360</v>
      </c>
      <c r="L60" s="340" t="s">
        <v>1360</v>
      </c>
      <c r="M60" s="340" t="s">
        <v>1360</v>
      </c>
      <c r="N60" s="340" t="s">
        <v>1360</v>
      </c>
      <c r="O60" s="340" t="s">
        <v>1360</v>
      </c>
      <c r="P60" s="340" t="s">
        <v>1360</v>
      </c>
      <c r="Q60" s="340" t="s">
        <v>1360</v>
      </c>
      <c r="R60" s="938" t="s">
        <v>1360</v>
      </c>
      <c r="AB60" s="465" t="s">
        <v>659</v>
      </c>
      <c r="AC60" s="464" t="s">
        <v>663</v>
      </c>
      <c r="AD60" s="464" t="s">
        <v>663</v>
      </c>
      <c r="AE60" s="464" t="s">
        <v>663</v>
      </c>
      <c r="AF60" s="464" t="s">
        <v>663</v>
      </c>
      <c r="AG60" s="464" t="s">
        <v>663</v>
      </c>
    </row>
    <row r="61" spans="1:33" ht="15" x14ac:dyDescent="0.2">
      <c r="A61" s="340" t="str">
        <f t="shared" si="45"/>
        <v>Large Rigid Truck</v>
      </c>
      <c r="B61" s="898"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899">
        <v>66164.514819809236</v>
      </c>
      <c r="K61" s="946">
        <f>VehicleCostData2023!AE58</f>
        <v>685854.55456102896</v>
      </c>
      <c r="L61" s="836">
        <f>VehicleCostData2023!AF58</f>
        <v>827727.74685699318</v>
      </c>
      <c r="M61" s="836">
        <f>VehicleCostData2023!AG58</f>
        <v>854497.09320833592</v>
      </c>
      <c r="N61" s="836">
        <f>VehicleCostData2023!AH58</f>
        <v>881266.43955967901</v>
      </c>
      <c r="O61" s="836">
        <f>VehicleCostData2023!AI58</f>
        <v>898447.87511458865</v>
      </c>
      <c r="P61" s="836">
        <f>VehicleCostData2023!AJ58</f>
        <v>915629.31066949805</v>
      </c>
      <c r="Q61" s="836">
        <f>VehicleCostData2023!AK58</f>
        <v>930422.59432564571</v>
      </c>
      <c r="R61" s="947">
        <f>VehicleCostData2023!AL58</f>
        <v>945215.87798179325</v>
      </c>
      <c r="S61" s="348">
        <f t="shared" ref="S61:Z68" si="46">C61/C$61</f>
        <v>1</v>
      </c>
      <c r="T61" s="348">
        <f t="shared" si="46"/>
        <v>1</v>
      </c>
      <c r="U61" s="348">
        <f t="shared" si="46"/>
        <v>1</v>
      </c>
      <c r="V61" s="348">
        <f t="shared" si="46"/>
        <v>1</v>
      </c>
      <c r="W61" s="348">
        <f t="shared" si="46"/>
        <v>1</v>
      </c>
      <c r="X61" s="348">
        <f t="shared" si="46"/>
        <v>1</v>
      </c>
      <c r="Y61" s="348">
        <f t="shared" si="46"/>
        <v>1</v>
      </c>
      <c r="Z61" s="348">
        <f t="shared" si="46"/>
        <v>1</v>
      </c>
      <c r="AB61" s="459" t="s">
        <v>687</v>
      </c>
      <c r="AC61" s="458">
        <v>12.405066687804799</v>
      </c>
      <c r="AD61" s="458">
        <v>11.079673113362597</v>
      </c>
      <c r="AE61" s="458">
        <v>9.2713390042129831</v>
      </c>
      <c r="AF61" s="457">
        <v>8.5519347392531859</v>
      </c>
      <c r="AG61" s="457">
        <v>8.0369288469360249</v>
      </c>
    </row>
    <row r="62" spans="1:33" ht="15" x14ac:dyDescent="0.2">
      <c r="A62" s="340" t="str">
        <f t="shared" si="45"/>
        <v>Large Rigid Truck</v>
      </c>
      <c r="B62" s="898"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899">
        <v>67898.65113591867</v>
      </c>
      <c r="K62" s="946">
        <f>VehicleCostData2023!AE59</f>
        <v>787326.09006833192</v>
      </c>
      <c r="L62" s="836">
        <f>VehicleCostData2023!AF59</f>
        <v>905089.27312167943</v>
      </c>
      <c r="M62" s="836">
        <f>VehicleCostData2023!AG59</f>
        <v>917315.70748265041</v>
      </c>
      <c r="N62" s="836">
        <f>VehicleCostData2023!AH59</f>
        <v>929542.14184362139</v>
      </c>
      <c r="O62" s="836">
        <f>VehicleCostData2023!AI59</f>
        <v>939604.36388428381</v>
      </c>
      <c r="P62" s="836">
        <f>VehicleCostData2023!AJ59</f>
        <v>949666.58592494624</v>
      </c>
      <c r="Q62" s="836">
        <f>VehicleCostData2023!AK59</f>
        <v>959828.03162261436</v>
      </c>
      <c r="R62" s="947">
        <f>VehicleCostData2023!AL59</f>
        <v>969989.47732028249</v>
      </c>
      <c r="S62" s="348">
        <f t="shared" si="46"/>
        <v>1.1479490583426224</v>
      </c>
      <c r="T62" s="348">
        <f t="shared" si="46"/>
        <v>1.0934625262454229</v>
      </c>
      <c r="U62" s="348">
        <f t="shared" si="46"/>
        <v>1.0735153048191803</v>
      </c>
      <c r="V62" s="348">
        <f t="shared" si="46"/>
        <v>1.0547799168524596</v>
      </c>
      <c r="W62" s="348">
        <f t="shared" si="46"/>
        <v>1.0458084324195727</v>
      </c>
      <c r="X62" s="348">
        <f t="shared" si="46"/>
        <v>1.0371736409689207</v>
      </c>
      <c r="Y62" s="348">
        <f t="shared" si="46"/>
        <v>1.031604388668443</v>
      </c>
      <c r="Z62" s="348">
        <f t="shared" si="4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45"/>
        <v>Large Rigid Truck</v>
      </c>
      <c r="B63" s="898"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899">
        <v>67413.099113642267</v>
      </c>
      <c r="K63" s="946">
        <f>VehicleCostData2023!AE60</f>
        <v>769198.23365860654</v>
      </c>
      <c r="L63" s="836">
        <f>VehicleCostData2023!AF60</f>
        <v>863375.24342478567</v>
      </c>
      <c r="M63" s="836">
        <f>VehicleCostData2023!AG60</f>
        <v>883270.97576612735</v>
      </c>
      <c r="N63" s="836">
        <f>VehicleCostData2023!AH60</f>
        <v>903166.70810746902</v>
      </c>
      <c r="O63" s="836">
        <f>VehicleCostData2023!AI60</f>
        <v>921655.39365881612</v>
      </c>
      <c r="P63" s="836">
        <f>VehicleCostData2023!AJ60</f>
        <v>940144.07921016309</v>
      </c>
      <c r="Q63" s="836">
        <f>VehicleCostData2023!AK60</f>
        <v>951598.51825990353</v>
      </c>
      <c r="R63" s="947">
        <f>VehicleCostData2023!AL60</f>
        <v>963052.95730964374</v>
      </c>
      <c r="S63" s="348">
        <f t="shared" si="46"/>
        <v>1.1215180077807025</v>
      </c>
      <c r="T63" s="348">
        <f t="shared" si="46"/>
        <v>1.0430666927660108</v>
      </c>
      <c r="U63" s="348">
        <f t="shared" si="46"/>
        <v>1.0336734703798176</v>
      </c>
      <c r="V63" s="348">
        <f t="shared" si="46"/>
        <v>1.0248509049757213</v>
      </c>
      <c r="W63" s="348">
        <f t="shared" si="46"/>
        <v>1.0258306788707887</v>
      </c>
      <c r="X63" s="348">
        <f t="shared" si="46"/>
        <v>1.0267736825973166</v>
      </c>
      <c r="Y63" s="348">
        <f t="shared" si="46"/>
        <v>1.0227594687224957</v>
      </c>
      <c r="Z63" s="348">
        <f t="shared" si="4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45"/>
        <v>Large Rigid Truck</v>
      </c>
      <c r="B64" s="898"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899">
        <v>67091.109722539215</v>
      </c>
      <c r="K64" s="946">
        <f>VehicleCostData2023!AE61</f>
        <v>864986.86714927107</v>
      </c>
      <c r="L64" s="836">
        <f>VehicleCostData2023!AF61</f>
        <v>921604.37915166514</v>
      </c>
      <c r="M64" s="836">
        <f>VehicleCostData2023!AG61</f>
        <v>926118.27186663973</v>
      </c>
      <c r="N64" s="836">
        <f>VehicleCostData2023!AH61</f>
        <v>930632.1645816142</v>
      </c>
      <c r="O64" s="836">
        <f>VehicleCostData2023!AI61</f>
        <v>937989.73525283556</v>
      </c>
      <c r="P64" s="836">
        <f>VehicleCostData2023!AJ61</f>
        <v>945347.3059240568</v>
      </c>
      <c r="Q64" s="836">
        <f>VehicleCostData2023!AK61</f>
        <v>951900.18665510486</v>
      </c>
      <c r="R64" s="947">
        <f>VehicleCostData2023!AL61</f>
        <v>958453.06738615292</v>
      </c>
      <c r="S64" s="348">
        <f t="shared" si="46"/>
        <v>1.2611811956295795</v>
      </c>
      <c r="T64" s="348">
        <f t="shared" si="46"/>
        <v>1.1134148669669899</v>
      </c>
      <c r="U64" s="348">
        <f t="shared" si="46"/>
        <v>1.0838167610253551</v>
      </c>
      <c r="V64" s="348">
        <f t="shared" si="46"/>
        <v>1.0560167990132481</v>
      </c>
      <c r="W64" s="348">
        <f t="shared" si="46"/>
        <v>1.0440113013047128</v>
      </c>
      <c r="X64" s="348">
        <f t="shared" si="46"/>
        <v>1.0324563607873465</v>
      </c>
      <c r="Y64" s="348">
        <f t="shared" si="46"/>
        <v>1.0230836960113008</v>
      </c>
      <c r="Z64" s="348">
        <f t="shared" si="4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45"/>
        <v>Large Rigid Truck</v>
      </c>
      <c r="B65" s="898" t="s">
        <v>692</v>
      </c>
      <c r="C65" s="462"/>
      <c r="D65" s="462"/>
      <c r="E65" s="463"/>
      <c r="F65" s="462"/>
      <c r="G65" s="462"/>
      <c r="H65" s="462"/>
      <c r="I65" s="462"/>
      <c r="J65" s="910"/>
      <c r="K65" s="946">
        <f>VehicleCostData2023!AE62</f>
        <v>0</v>
      </c>
      <c r="L65" s="836">
        <f>VehicleCostData2023!AF62</f>
        <v>3626215.4710496436</v>
      </c>
      <c r="M65" s="836">
        <f>VehicleCostData2023!AG62</f>
        <v>2538350.8297347506</v>
      </c>
      <c r="N65" s="836">
        <f>VehicleCostData2023!AH62</f>
        <v>2175729.2826297861</v>
      </c>
      <c r="O65" s="836">
        <f>VehicleCostData2023!AI62</f>
        <v>1813107.7355248218</v>
      </c>
      <c r="P65" s="836">
        <f>VehicleCostData2023!AJ62</f>
        <v>1692233.8864898337</v>
      </c>
      <c r="Q65" s="836">
        <f>VehicleCostData2023!AK62</f>
        <v>1571360.0374548456</v>
      </c>
      <c r="R65" s="947">
        <f>VehicleCostData2023!AL62</f>
        <v>1450486.1884198575</v>
      </c>
      <c r="S65" s="348">
        <f t="shared" si="46"/>
        <v>0</v>
      </c>
      <c r="T65" s="348">
        <f t="shared" si="46"/>
        <v>0</v>
      </c>
      <c r="U65" s="348">
        <f t="shared" si="46"/>
        <v>0</v>
      </c>
      <c r="V65" s="348">
        <f t="shared" si="46"/>
        <v>0</v>
      </c>
      <c r="W65" s="348">
        <f t="shared" si="46"/>
        <v>0</v>
      </c>
      <c r="X65" s="348">
        <f t="shared" si="46"/>
        <v>0</v>
      </c>
      <c r="Y65" s="348">
        <f t="shared" si="46"/>
        <v>0</v>
      </c>
      <c r="Z65" s="348">
        <f t="shared" si="46"/>
        <v>0</v>
      </c>
      <c r="AA65" s="440"/>
      <c r="AB65" s="459" t="s">
        <v>692</v>
      </c>
      <c r="AC65" s="461"/>
      <c r="AD65" s="461"/>
      <c r="AE65" s="461"/>
      <c r="AF65" s="461"/>
      <c r="AG65" s="461"/>
    </row>
    <row r="66" spans="1:33" ht="15" x14ac:dyDescent="0.2">
      <c r="A66" s="340" t="str">
        <f t="shared" si="45"/>
        <v>Large Rigid Truck</v>
      </c>
      <c r="B66" s="898"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899">
        <v>64871.264266849503</v>
      </c>
      <c r="K66" s="946">
        <f>VehicleCostData2023!AE63</f>
        <v>4181375.5668412126</v>
      </c>
      <c r="L66" s="836">
        <f>VehicleCostData2023!AF63</f>
        <v>1813107.7355248218</v>
      </c>
      <c r="M66" s="836">
        <f>VehicleCostData2023!AG63</f>
        <v>1437160.6416999607</v>
      </c>
      <c r="N66" s="836">
        <f>VehicleCostData2023!AH63</f>
        <v>1061213.5478750996</v>
      </c>
      <c r="O66" s="836">
        <f>VehicleCostData2023!AI63</f>
        <v>1011982.5087271776</v>
      </c>
      <c r="P66" s="836">
        <f>VehicleCostData2023!AJ63</f>
        <v>962751.46957925544</v>
      </c>
      <c r="Q66" s="836">
        <f>VehicleCostData2023!AK63</f>
        <v>944746.08653156378</v>
      </c>
      <c r="R66" s="947">
        <f>VehicleCostData2023!AL63</f>
        <v>926740.70348387223</v>
      </c>
      <c r="S66" s="348">
        <f t="shared" si="46"/>
        <v>6.0965922571111886</v>
      </c>
      <c r="T66" s="348">
        <f t="shared" si="46"/>
        <v>2.1904638843018911</v>
      </c>
      <c r="U66" s="348">
        <f t="shared" si="46"/>
        <v>1.6818789123131217</v>
      </c>
      <c r="V66" s="348">
        <f t="shared" si="46"/>
        <v>1.2041914910606719</v>
      </c>
      <c r="W66" s="348">
        <f t="shared" si="46"/>
        <v>1.1263675242129196</v>
      </c>
      <c r="X66" s="348">
        <f t="shared" si="46"/>
        <v>1.0514642316062404</v>
      </c>
      <c r="Y66" s="348">
        <f t="shared" si="46"/>
        <v>1.0153946091735868</v>
      </c>
      <c r="Z66" s="348">
        <f t="shared" si="4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45"/>
        <v>Large Rigid Truck</v>
      </c>
      <c r="B67" s="898"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899">
        <v>73297.478459946346</v>
      </c>
      <c r="K67" s="946">
        <f>VehicleCostData2023!AE64</f>
        <v>983000.09119141463</v>
      </c>
      <c r="L67" s="836">
        <f>VehicleCostData2023!AF64</f>
        <v>1001534.7266283445</v>
      </c>
      <c r="M67" s="836">
        <f>VehicleCostData2023!AG64</f>
        <v>1008145.0616619556</v>
      </c>
      <c r="N67" s="836">
        <f>VehicleCostData2023!AH64</f>
        <v>1014755.3966955666</v>
      </c>
      <c r="O67" s="836">
        <f>VehicleCostData2023!AI64</f>
        <v>1022379.9705217757</v>
      </c>
      <c r="P67" s="836">
        <f>VehicleCostData2023!AJ64</f>
        <v>1030004.5443479848</v>
      </c>
      <c r="Q67" s="836">
        <f>VehicleCostData2023!AK64</f>
        <v>1038560.4108911769</v>
      </c>
      <c r="R67" s="947">
        <f>VehicleCostData2023!AL64</f>
        <v>1047116.277434369</v>
      </c>
      <c r="S67" s="348">
        <f t="shared" si="46"/>
        <v>1.433248616130528</v>
      </c>
      <c r="T67" s="348">
        <f t="shared" si="46"/>
        <v>1.2099808547331203</v>
      </c>
      <c r="U67" s="348">
        <f t="shared" si="46"/>
        <v>1.1798109902009442</v>
      </c>
      <c r="V67" s="348">
        <f t="shared" si="46"/>
        <v>1.1514740050722738</v>
      </c>
      <c r="W67" s="348">
        <f t="shared" si="46"/>
        <v>1.1379402176129367</v>
      </c>
      <c r="X67" s="348">
        <f t="shared" si="46"/>
        <v>1.1249143428958785</v>
      </c>
      <c r="Y67" s="348">
        <f t="shared" si="46"/>
        <v>1.1162244094511777</v>
      </c>
      <c r="Z67" s="348">
        <f t="shared" si="4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45"/>
        <v>Large Rigid Truck</v>
      </c>
      <c r="B68" s="898"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899">
        <v>69966.904678313702</v>
      </c>
      <c r="K68" s="946">
        <f>VehicleCostData2023!AE65</f>
        <v>935580.03017164103</v>
      </c>
      <c r="L68" s="836">
        <f>VehicleCostData2023!AF65</f>
        <v>955910.20610261254</v>
      </c>
      <c r="M68" s="836">
        <f>VehicleCostData2023!AG65</f>
        <v>961413.7558443757</v>
      </c>
      <c r="N68" s="836">
        <f>VehicleCostData2023!AH65</f>
        <v>966917.30558613921</v>
      </c>
      <c r="O68" s="836">
        <f>VehicleCostData2023!AI65</f>
        <v>974635.68364717788</v>
      </c>
      <c r="P68" s="836">
        <f>VehicleCostData2023!AJ65</f>
        <v>982354.06170821632</v>
      </c>
      <c r="Q68" s="836">
        <f>VehicleCostData2023!AK65</f>
        <v>990945.14232056367</v>
      </c>
      <c r="R68" s="947">
        <f>VehicleCostData2023!AL65</f>
        <v>999536.2229329109</v>
      </c>
      <c r="S68" s="348">
        <f t="shared" si="46"/>
        <v>1.3641085036906184</v>
      </c>
      <c r="T68" s="348">
        <f t="shared" si="46"/>
        <v>1.1548606528322234</v>
      </c>
      <c r="U68" s="348">
        <f t="shared" si="46"/>
        <v>1.125122324564739</v>
      </c>
      <c r="V68" s="348">
        <f t="shared" si="46"/>
        <v>1.0971906590125626</v>
      </c>
      <c r="W68" s="348">
        <f t="shared" si="46"/>
        <v>1.0847993641510612</v>
      </c>
      <c r="X68" s="348">
        <f t="shared" si="46"/>
        <v>1.0728731051542351</v>
      </c>
      <c r="Y68" s="348">
        <f t="shared" si="46"/>
        <v>1.0650484504181494</v>
      </c>
      <c r="Z68" s="348">
        <f t="shared" si="4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45"/>
        <v>Large Rigid Truck</v>
      </c>
      <c r="B69" s="908"/>
      <c r="E69" s="350"/>
      <c r="J69" s="891"/>
      <c r="K69" s="908">
        <f>VehicleCostData2023!AE66</f>
        <v>0</v>
      </c>
      <c r="L69" s="340">
        <f>VehicleCostData2023!AF66</f>
        <v>0</v>
      </c>
      <c r="M69" s="340">
        <f>VehicleCostData2023!AG66</f>
        <v>0</v>
      </c>
      <c r="N69" s="340">
        <f>VehicleCostData2023!AH66</f>
        <v>0</v>
      </c>
      <c r="O69" s="340">
        <f>VehicleCostData2023!AI66</f>
        <v>0</v>
      </c>
      <c r="P69" s="340">
        <f>VehicleCostData2023!AJ66</f>
        <v>0</v>
      </c>
      <c r="Q69" s="340">
        <f>VehicleCostData2023!AK66</f>
        <v>0</v>
      </c>
      <c r="R69" s="938">
        <f>VehicleCostData2023!AL66</f>
        <v>0</v>
      </c>
      <c r="Z69" s="440"/>
      <c r="AA69" s="440"/>
    </row>
    <row r="70" spans="1:33" ht="15" x14ac:dyDescent="0.2">
      <c r="A70" s="340" t="str">
        <f t="shared" si="45"/>
        <v>Large Rigid Truck</v>
      </c>
      <c r="B70" s="911" t="s">
        <v>832</v>
      </c>
      <c r="C70" s="377" t="s">
        <v>831</v>
      </c>
      <c r="D70" s="376">
        <v>0.08</v>
      </c>
      <c r="E70" s="375"/>
      <c r="J70" s="891"/>
      <c r="K70" s="908">
        <f>VehicleCostData2023!AE67</f>
        <v>0</v>
      </c>
      <c r="L70" s="340">
        <f>VehicleCostData2023!AF67</f>
        <v>0</v>
      </c>
      <c r="M70" s="340">
        <f>VehicleCostData2023!AG67</f>
        <v>0</v>
      </c>
      <c r="N70" s="340">
        <f>VehicleCostData2023!AH67</f>
        <v>0</v>
      </c>
      <c r="O70" s="340">
        <f>VehicleCostData2023!AI67</f>
        <v>0</v>
      </c>
      <c r="P70" s="340">
        <f>VehicleCostData2023!AJ67</f>
        <v>0</v>
      </c>
      <c r="Q70" s="340">
        <f>VehicleCostData2023!AK67</f>
        <v>0</v>
      </c>
      <c r="R70" s="938">
        <f>VehicleCostData2023!AL67</f>
        <v>0</v>
      </c>
      <c r="Z70" s="440"/>
      <c r="AA70" s="440"/>
      <c r="AB70" s="455" t="s">
        <v>816</v>
      </c>
    </row>
    <row r="71" spans="1:33" ht="15" x14ac:dyDescent="0.2">
      <c r="A71" s="340" t="str">
        <f>B71</f>
        <v>Articulated Truck</v>
      </c>
      <c r="B71" s="912" t="s">
        <v>747</v>
      </c>
      <c r="C71" s="369">
        <v>2010</v>
      </c>
      <c r="D71" s="369">
        <v>2020</v>
      </c>
      <c r="E71" s="372"/>
      <c r="F71" s="369">
        <v>2030</v>
      </c>
      <c r="G71" s="369"/>
      <c r="H71" s="369">
        <v>2040</v>
      </c>
      <c r="I71" s="369"/>
      <c r="J71" s="895">
        <v>2050</v>
      </c>
      <c r="K71" s="942">
        <f>VehicleCostData2023!AE68</f>
        <v>2010</v>
      </c>
      <c r="L71" s="371">
        <f>VehicleCostData2023!AF68</f>
        <v>2020</v>
      </c>
      <c r="M71" s="371">
        <f>VehicleCostData2023!AG68</f>
        <v>0</v>
      </c>
      <c r="N71" s="371">
        <f>VehicleCostData2023!AH68</f>
        <v>2030</v>
      </c>
      <c r="O71" s="371">
        <f>VehicleCostData2023!AI68</f>
        <v>0</v>
      </c>
      <c r="P71" s="371">
        <f>VehicleCostData2023!AJ68</f>
        <v>2040</v>
      </c>
      <c r="Q71" s="371">
        <f>VehicleCostData2023!AK68</f>
        <v>0</v>
      </c>
      <c r="R71" s="943">
        <f>VehicleCostData2023!AL68</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47">A71</f>
        <v>Articulated Truck</v>
      </c>
      <c r="B72" s="913" t="s">
        <v>791</v>
      </c>
      <c r="C72" s="451" t="s">
        <v>193</v>
      </c>
      <c r="D72" s="450" t="s">
        <v>193</v>
      </c>
      <c r="E72" s="449"/>
      <c r="F72" s="448" t="s">
        <v>193</v>
      </c>
      <c r="G72" s="448"/>
      <c r="H72" s="447" t="s">
        <v>193</v>
      </c>
      <c r="I72" s="447"/>
      <c r="J72" s="914" t="s">
        <v>193</v>
      </c>
      <c r="K72" s="908" t="s">
        <v>1360</v>
      </c>
      <c r="L72" s="340" t="s">
        <v>1360</v>
      </c>
      <c r="M72" s="340" t="s">
        <v>1360</v>
      </c>
      <c r="N72" s="340" t="s">
        <v>1360</v>
      </c>
      <c r="O72" s="340" t="s">
        <v>1360</v>
      </c>
      <c r="P72" s="340" t="s">
        <v>1360</v>
      </c>
      <c r="Q72" s="340" t="s">
        <v>1360</v>
      </c>
      <c r="R72" s="938" t="s">
        <v>1360</v>
      </c>
      <c r="Z72" s="440"/>
      <c r="AA72" s="440"/>
      <c r="AB72" s="445" t="s">
        <v>659</v>
      </c>
      <c r="AC72" s="444" t="s">
        <v>663</v>
      </c>
      <c r="AD72" s="443" t="s">
        <v>663</v>
      </c>
      <c r="AE72" s="443" t="s">
        <v>663</v>
      </c>
      <c r="AF72" s="442" t="s">
        <v>663</v>
      </c>
      <c r="AG72" s="441" t="s">
        <v>663</v>
      </c>
    </row>
    <row r="73" spans="1:33" ht="15" x14ac:dyDescent="0.2">
      <c r="A73" s="340" t="str">
        <f t="shared" si="47"/>
        <v>Articulated Truck</v>
      </c>
      <c r="B73" s="915"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916">
        <v>85111.655194109291</v>
      </c>
      <c r="K73" s="946">
        <f>VehicleCostData2023!AE70</f>
        <v>1394803.006015125</v>
      </c>
      <c r="L73" s="836">
        <f>VehicleCostData2023!AF70</f>
        <v>1729683.6457722846</v>
      </c>
      <c r="M73" s="836">
        <f>VehicleCostData2023!AG70</f>
        <v>1774391.33913615</v>
      </c>
      <c r="N73" s="836">
        <f>VehicleCostData2023!AH70</f>
        <v>1819099.0325000153</v>
      </c>
      <c r="O73" s="836">
        <f>VehicleCostData2023!AI70</f>
        <v>1853992.6191889104</v>
      </c>
      <c r="P73" s="836">
        <f>VehicleCostData2023!AJ70</f>
        <v>1888886.2058778054</v>
      </c>
      <c r="Q73" s="836">
        <f>VehicleCostData2023!AK70</f>
        <v>1910564.3362565318</v>
      </c>
      <c r="R73" s="947">
        <f>VehicleCostData2023!AL70</f>
        <v>1932242.4666352579</v>
      </c>
      <c r="S73" s="348">
        <f t="shared" ref="S73:Z80" si="48">C73/C$73</f>
        <v>1</v>
      </c>
      <c r="T73" s="348">
        <f t="shared" si="48"/>
        <v>1</v>
      </c>
      <c r="U73" s="348">
        <f t="shared" si="48"/>
        <v>1</v>
      </c>
      <c r="V73" s="348">
        <f t="shared" si="48"/>
        <v>1</v>
      </c>
      <c r="W73" s="348">
        <f t="shared" si="48"/>
        <v>1</v>
      </c>
      <c r="X73" s="348">
        <f t="shared" si="48"/>
        <v>1</v>
      </c>
      <c r="Y73" s="348">
        <f t="shared" si="48"/>
        <v>1</v>
      </c>
      <c r="Z73" s="348">
        <f t="shared" si="48"/>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47"/>
        <v>Articulated Truck</v>
      </c>
      <c r="B74" s="915"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916">
        <v>87170.477281091473</v>
      </c>
      <c r="K74" s="946">
        <f>VehicleCostData2023!AE71</f>
        <v>1623656.3943534463</v>
      </c>
      <c r="L74" s="836">
        <f>VehicleCostData2023!AF71</f>
        <v>1881307.4022600672</v>
      </c>
      <c r="M74" s="836">
        <f>VehicleCostData2023!AG71</f>
        <v>1896865.6479296605</v>
      </c>
      <c r="N74" s="836">
        <f>VehicleCostData2023!AH71</f>
        <v>1912423.8935992543</v>
      </c>
      <c r="O74" s="836">
        <f>VehicleCostData2023!AI71</f>
        <v>1933172.1213173277</v>
      </c>
      <c r="P74" s="836">
        <f>VehicleCostData2023!AJ71</f>
        <v>1953920.3490354014</v>
      </c>
      <c r="Q74" s="836">
        <f>VehicleCostData2023!AK71</f>
        <v>1966451.5529619923</v>
      </c>
      <c r="R74" s="947">
        <f>VehicleCostData2023!AL71</f>
        <v>1978982.7568885833</v>
      </c>
      <c r="S74" s="348">
        <f t="shared" si="48"/>
        <v>1.1640757779782414</v>
      </c>
      <c r="T74" s="348">
        <f t="shared" si="48"/>
        <v>1.0876598196776521</v>
      </c>
      <c r="U74" s="348">
        <f t="shared" si="48"/>
        <v>1.069023279189999</v>
      </c>
      <c r="V74" s="348">
        <f t="shared" si="48"/>
        <v>1.0513027929936178</v>
      </c>
      <c r="W74" s="348">
        <f t="shared" si="48"/>
        <v>1.0427075605959299</v>
      </c>
      <c r="X74" s="348">
        <f t="shared" si="48"/>
        <v>1.0344298894000199</v>
      </c>
      <c r="Y74" s="348">
        <f t="shared" si="48"/>
        <v>1.0292516800637885</v>
      </c>
      <c r="Z74" s="348">
        <f t="shared" si="48"/>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47"/>
        <v>Articulated Truck</v>
      </c>
      <c r="B75" s="915"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916">
        <v>86819.718766163729</v>
      </c>
      <c r="K75" s="946">
        <f>VehicleCostData2023!AE72</f>
        <v>1644345.102691914</v>
      </c>
      <c r="L75" s="836">
        <f>VehicleCostData2023!AF72</f>
        <v>1830898.431238617</v>
      </c>
      <c r="M75" s="836">
        <f>VehicleCostData2023!AG72</f>
        <v>1857526.1820196833</v>
      </c>
      <c r="N75" s="836">
        <f>VehicleCostData2023!AH72</f>
        <v>1884153.93280075</v>
      </c>
      <c r="O75" s="836">
        <f>VehicleCostData2023!AI72</f>
        <v>1913327.2564421173</v>
      </c>
      <c r="P75" s="836">
        <f>VehicleCostData2023!AJ72</f>
        <v>1942500.5800834852</v>
      </c>
      <c r="Q75" s="836">
        <f>VehicleCostData2023!AK72</f>
        <v>1956760.1309602302</v>
      </c>
      <c r="R75" s="947">
        <f>VehicleCostData2023!AL72</f>
        <v>1971019.681836975</v>
      </c>
      <c r="S75" s="348">
        <f t="shared" si="48"/>
        <v>1.1789084878657647</v>
      </c>
      <c r="T75" s="348">
        <f t="shared" si="48"/>
        <v>1.0585163568573497</v>
      </c>
      <c r="U75" s="348">
        <f t="shared" si="48"/>
        <v>1.0468525973103582</v>
      </c>
      <c r="V75" s="348">
        <f t="shared" si="48"/>
        <v>1.0357621543074147</v>
      </c>
      <c r="W75" s="348">
        <f t="shared" si="48"/>
        <v>1.0320037073713728</v>
      </c>
      <c r="X75" s="348">
        <f t="shared" si="48"/>
        <v>1.0283841207791362</v>
      </c>
      <c r="Y75" s="348">
        <f t="shared" si="48"/>
        <v>1.0241791358851657</v>
      </c>
      <c r="Z75" s="348">
        <f t="shared" si="48"/>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47"/>
        <v>Articulated Truck</v>
      </c>
      <c r="B76" s="915"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916">
        <v>86268.993976230602</v>
      </c>
      <c r="K76" s="946">
        <f>VehicleCostData2023!AE73</f>
        <v>1783475.1840649548</v>
      </c>
      <c r="L76" s="836">
        <f>VehicleCostData2023!AF73</f>
        <v>1896564.6673059126</v>
      </c>
      <c r="M76" s="836">
        <f>VehicleCostData2023!AG73</f>
        <v>1902507.9210785097</v>
      </c>
      <c r="N76" s="836">
        <f>VehicleCostData2023!AH73</f>
        <v>1908451.1748511069</v>
      </c>
      <c r="O76" s="836">
        <f>VehicleCostData2023!AI73</f>
        <v>1922319.7681714082</v>
      </c>
      <c r="P76" s="836">
        <f>VehicleCostData2023!AJ73</f>
        <v>1936188.3614917099</v>
      </c>
      <c r="Q76" s="836">
        <f>VehicleCostData2023!AK73</f>
        <v>1947352.6226984155</v>
      </c>
      <c r="R76" s="947">
        <f>VehicleCostData2023!AL73</f>
        <v>1958516.8839051214</v>
      </c>
      <c r="S76" s="348">
        <f t="shared" si="48"/>
        <v>1.2786573991980736</v>
      </c>
      <c r="T76" s="348">
        <f t="shared" si="48"/>
        <v>1.0964806610396767</v>
      </c>
      <c r="U76" s="348">
        <f t="shared" si="48"/>
        <v>1.0722031150156157</v>
      </c>
      <c r="V76" s="348">
        <f t="shared" si="48"/>
        <v>1.0491188993863041</v>
      </c>
      <c r="W76" s="348">
        <f t="shared" si="48"/>
        <v>1.0368540566317841</v>
      </c>
      <c r="X76" s="348">
        <f t="shared" si="48"/>
        <v>1.0250423532485498</v>
      </c>
      <c r="Y76" s="348">
        <f t="shared" si="48"/>
        <v>1.0192551937371368</v>
      </c>
      <c r="Z76" s="348">
        <f t="shared" si="48"/>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47"/>
        <v>Articulated Truck</v>
      </c>
      <c r="B77" s="915" t="s">
        <v>692</v>
      </c>
      <c r="C77" s="439"/>
      <c r="D77" s="438"/>
      <c r="E77" s="437"/>
      <c r="F77" s="436"/>
      <c r="G77" s="436"/>
      <c r="H77" s="435"/>
      <c r="I77" s="435"/>
      <c r="J77" s="917"/>
      <c r="K77" s="946">
        <f>VehicleCostData2023!AE74</f>
        <v>0</v>
      </c>
      <c r="L77" s="836">
        <f>VehicleCostData2023!AF74</f>
        <v>0</v>
      </c>
      <c r="M77" s="836">
        <f>VehicleCostData2023!AG74</f>
        <v>0</v>
      </c>
      <c r="N77" s="836">
        <f>VehicleCostData2023!AH74</f>
        <v>0</v>
      </c>
      <c r="O77" s="836">
        <f>VehicleCostData2023!AI74</f>
        <v>0</v>
      </c>
      <c r="P77" s="836">
        <f>VehicleCostData2023!AJ74</f>
        <v>0</v>
      </c>
      <c r="Q77" s="836">
        <f>VehicleCostData2023!AK74</f>
        <v>0</v>
      </c>
      <c r="R77" s="947">
        <f>VehicleCostData2023!AL74</f>
        <v>0</v>
      </c>
      <c r="S77" s="348">
        <f t="shared" si="48"/>
        <v>0</v>
      </c>
      <c r="T77" s="348">
        <f t="shared" si="48"/>
        <v>0</v>
      </c>
      <c r="U77" s="348">
        <f t="shared" si="48"/>
        <v>0</v>
      </c>
      <c r="V77" s="348">
        <f t="shared" si="48"/>
        <v>0</v>
      </c>
      <c r="W77" s="348">
        <f t="shared" si="48"/>
        <v>0</v>
      </c>
      <c r="X77" s="348">
        <f t="shared" si="48"/>
        <v>0</v>
      </c>
      <c r="Y77" s="348">
        <f t="shared" si="48"/>
        <v>0</v>
      </c>
      <c r="Z77" s="348">
        <f t="shared" si="48"/>
        <v>0</v>
      </c>
      <c r="AB77" s="422" t="s">
        <v>692</v>
      </c>
      <c r="AC77" s="433"/>
      <c r="AD77" s="432"/>
      <c r="AE77" s="431"/>
      <c r="AF77" s="430"/>
      <c r="AG77" s="429"/>
    </row>
    <row r="78" spans="1:33" ht="15" x14ac:dyDescent="0.2">
      <c r="A78" s="340" t="str">
        <f t="shared" si="47"/>
        <v>Articulated Truck</v>
      </c>
      <c r="B78" s="915"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916">
        <v>84519.914845238978</v>
      </c>
      <c r="K78" s="946">
        <f>VehicleCostData2023!AE75</f>
        <v>9333066.2203088477</v>
      </c>
      <c r="L78" s="836">
        <f>VehicleCostData2023!AF75</f>
        <v>3916456.1540345564</v>
      </c>
      <c r="M78" s="836">
        <f>VehicleCostData2023!AG75</f>
        <v>3067405.1292542205</v>
      </c>
      <c r="N78" s="836">
        <f>VehicleCostData2023!AH75</f>
        <v>2218354.1044738842</v>
      </c>
      <c r="O78" s="836">
        <f>VehicleCostData2023!AI75</f>
        <v>2106680.0881784153</v>
      </c>
      <c r="P78" s="836">
        <f>VehicleCostData2023!AJ75</f>
        <v>1995006.0718829464</v>
      </c>
      <c r="Q78" s="836">
        <f>VehicleCostData2023!AK75</f>
        <v>1956907.2936069358</v>
      </c>
      <c r="R78" s="947">
        <f>VehicleCostData2023!AL75</f>
        <v>1918808.5153309256</v>
      </c>
      <c r="S78" s="348">
        <f t="shared" si="48"/>
        <v>6.6913149599332318</v>
      </c>
      <c r="T78" s="348">
        <f t="shared" si="48"/>
        <v>2.2642615391590306</v>
      </c>
      <c r="U78" s="348">
        <f t="shared" si="48"/>
        <v>1.7287083528865539</v>
      </c>
      <c r="V78" s="348">
        <f t="shared" si="48"/>
        <v>1.2194795691937488</v>
      </c>
      <c r="W78" s="348">
        <f t="shared" si="48"/>
        <v>1.1362936758076476</v>
      </c>
      <c r="X78" s="348">
        <f t="shared" si="48"/>
        <v>1.0561811853328797</v>
      </c>
      <c r="Y78" s="348">
        <f t="shared" si="48"/>
        <v>1.0242561616329584</v>
      </c>
      <c r="Z78" s="348">
        <f t="shared" si="48"/>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47"/>
        <v>Articulated Truck</v>
      </c>
      <c r="B79" s="915"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916">
        <v>94743.421151816074</v>
      </c>
      <c r="K79" s="946">
        <f>VehicleCostData2023!AE76</f>
        <v>2046079.6933285356</v>
      </c>
      <c r="L79" s="836">
        <f>VehicleCostData2023!AF76</f>
        <v>2108333.6144666532</v>
      </c>
      <c r="M79" s="836">
        <f>VehicleCostData2023!AG76</f>
        <v>2105849.3538714363</v>
      </c>
      <c r="N79" s="836">
        <f>VehicleCostData2023!AH76</f>
        <v>2103365.0932762185</v>
      </c>
      <c r="O79" s="836">
        <f>VehicleCostData2023!AI76</f>
        <v>2118312.1801417214</v>
      </c>
      <c r="P79" s="836">
        <f>VehicleCostData2023!AJ76</f>
        <v>2133259.2670072243</v>
      </c>
      <c r="Q79" s="836">
        <f>VehicleCostData2023!AK76</f>
        <v>2142083.1737169772</v>
      </c>
      <c r="R79" s="947">
        <f>VehicleCostData2023!AL76</f>
        <v>2150907.0804267302</v>
      </c>
      <c r="S79" s="348">
        <f t="shared" si="48"/>
        <v>1.4669309461657043</v>
      </c>
      <c r="T79" s="348">
        <f t="shared" si="48"/>
        <v>1.2189128454904861</v>
      </c>
      <c r="U79" s="348">
        <f t="shared" si="48"/>
        <v>1.1868009651673876</v>
      </c>
      <c r="V79" s="348">
        <f t="shared" si="48"/>
        <v>1.1562675014925008</v>
      </c>
      <c r="W79" s="348">
        <f t="shared" si="48"/>
        <v>1.1425677525450162</v>
      </c>
      <c r="X79" s="348">
        <f t="shared" si="48"/>
        <v>1.1293741573044385</v>
      </c>
      <c r="Y79" s="348">
        <f t="shared" si="48"/>
        <v>1.121178247215727</v>
      </c>
      <c r="Z79" s="348">
        <f t="shared" si="48"/>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47"/>
        <v>Articulated Truck</v>
      </c>
      <c r="B80" s="915"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916">
        <v>89944.528950709704</v>
      </c>
      <c r="K80" s="946">
        <f>VehicleCostData2023!AE77</f>
        <v>1933800.165050887</v>
      </c>
      <c r="L80" s="836">
        <f>VehicleCostData2023!AF77</f>
        <v>2005955.6428487513</v>
      </c>
      <c r="M80" s="836">
        <f>VehicleCostData2023!AG77</f>
        <v>2000166.9362324402</v>
      </c>
      <c r="N80" s="836">
        <f>VehicleCostData2023!AH77</f>
        <v>1994378.2296161293</v>
      </c>
      <c r="O80" s="836">
        <f>VehicleCostData2023!AI77</f>
        <v>2009358.1927547844</v>
      </c>
      <c r="P80" s="836">
        <f>VehicleCostData2023!AJ77</f>
        <v>2024338.1558934394</v>
      </c>
      <c r="Q80" s="836">
        <f>VehicleCostData2023!AK77</f>
        <v>2033149.3307904822</v>
      </c>
      <c r="R80" s="947">
        <f>VehicleCostData2023!AL77</f>
        <v>2041960.5056875255</v>
      </c>
      <c r="S80" s="348">
        <f t="shared" si="48"/>
        <v>1.3864324615815442</v>
      </c>
      <c r="T80" s="348">
        <f t="shared" si="48"/>
        <v>1.1597240037227237</v>
      </c>
      <c r="U80" s="348">
        <f t="shared" si="48"/>
        <v>1.1272411514396863</v>
      </c>
      <c r="V80" s="348">
        <f t="shared" si="48"/>
        <v>1.0963549504367691</v>
      </c>
      <c r="W80" s="348">
        <f t="shared" si="48"/>
        <v>1.0838005351034481</v>
      </c>
      <c r="X80" s="348">
        <f t="shared" si="48"/>
        <v>1.0717099577487181</v>
      </c>
      <c r="Y80" s="348">
        <f t="shared" si="48"/>
        <v>1.0641616679468318</v>
      </c>
      <c r="Z80" s="348">
        <f t="shared" si="48"/>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47"/>
        <v>Articulated Truck</v>
      </c>
      <c r="B81" s="908"/>
      <c r="E81" s="340"/>
      <c r="J81" s="891"/>
      <c r="K81" s="908">
        <f>VehicleCostData2023!AE78</f>
        <v>0</v>
      </c>
      <c r="L81" s="340">
        <f>VehicleCostData2023!AF78</f>
        <v>0</v>
      </c>
      <c r="M81" s="340">
        <f>VehicleCostData2023!AG78</f>
        <v>0</v>
      </c>
      <c r="N81" s="340">
        <f>VehicleCostData2023!AH78</f>
        <v>0</v>
      </c>
      <c r="O81" s="340">
        <f>VehicleCostData2023!AI78</f>
        <v>0</v>
      </c>
      <c r="P81" s="340">
        <f>VehicleCostData2023!AJ78</f>
        <v>0</v>
      </c>
      <c r="Q81" s="340">
        <f>VehicleCostData2023!AK78</f>
        <v>0</v>
      </c>
      <c r="R81" s="938">
        <f>VehicleCostData2023!AL78</f>
        <v>0</v>
      </c>
      <c r="T81" s="348"/>
      <c r="U81" s="348"/>
      <c r="V81" s="348"/>
      <c r="W81" s="348"/>
      <c r="X81" s="348"/>
      <c r="Y81" s="348"/>
      <c r="Z81" s="348"/>
    </row>
    <row r="82" spans="1:33" x14ac:dyDescent="0.2">
      <c r="A82" s="340" t="str">
        <f t="shared" si="47"/>
        <v>Articulated Truck</v>
      </c>
      <c r="B82" s="918" t="s">
        <v>832</v>
      </c>
      <c r="C82" s="377" t="s">
        <v>831</v>
      </c>
      <c r="D82" s="376">
        <v>0.08</v>
      </c>
      <c r="E82" s="375"/>
      <c r="J82" s="891"/>
      <c r="K82" s="908">
        <f>VehicleCostData2023!AE79</f>
        <v>0</v>
      </c>
      <c r="L82" s="340">
        <f>VehicleCostData2023!AF79</f>
        <v>0</v>
      </c>
      <c r="M82" s="340">
        <f>VehicleCostData2023!AG79</f>
        <v>0</v>
      </c>
      <c r="N82" s="340">
        <f>VehicleCostData2023!AH79</f>
        <v>0</v>
      </c>
      <c r="O82" s="340">
        <f>VehicleCostData2023!AI79</f>
        <v>0</v>
      </c>
      <c r="P82" s="340">
        <f>VehicleCostData2023!AJ79</f>
        <v>0</v>
      </c>
      <c r="Q82" s="340">
        <f>VehicleCostData2023!AK79</f>
        <v>0</v>
      </c>
      <c r="R82" s="938">
        <f>VehicleCostData2023!AL79</f>
        <v>0</v>
      </c>
      <c r="AB82" s="374" t="s">
        <v>816</v>
      </c>
    </row>
    <row r="83" spans="1:33" x14ac:dyDescent="0.2">
      <c r="A83" s="340" t="str">
        <f>B83</f>
        <v>Construction Truck</v>
      </c>
      <c r="B83" s="919" t="s">
        <v>733</v>
      </c>
      <c r="C83" s="369">
        <v>2010</v>
      </c>
      <c r="D83" s="369">
        <v>2020</v>
      </c>
      <c r="E83" s="372"/>
      <c r="F83" s="369">
        <v>2030</v>
      </c>
      <c r="G83" s="369"/>
      <c r="H83" s="369">
        <v>2040</v>
      </c>
      <c r="I83" s="369"/>
      <c r="J83" s="895">
        <v>2050</v>
      </c>
      <c r="K83" s="942">
        <f>VehicleCostData2023!AE80</f>
        <v>2010</v>
      </c>
      <c r="L83" s="371">
        <f>VehicleCostData2023!AF80</f>
        <v>2020</v>
      </c>
      <c r="M83" s="371">
        <f>VehicleCostData2023!AG80</f>
        <v>0</v>
      </c>
      <c r="N83" s="371">
        <f>VehicleCostData2023!AH80</f>
        <v>2030</v>
      </c>
      <c r="O83" s="371">
        <f>VehicleCostData2023!AI80</f>
        <v>0</v>
      </c>
      <c r="P83" s="371">
        <f>VehicleCostData2023!AJ80</f>
        <v>2040</v>
      </c>
      <c r="Q83" s="371">
        <f>VehicleCostData2023!AK80</f>
        <v>0</v>
      </c>
      <c r="R83" s="943">
        <f>VehicleCostData2023!AL80</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49">A83</f>
        <v>Construction Truck</v>
      </c>
      <c r="B84" s="920" t="s">
        <v>791</v>
      </c>
      <c r="C84" s="413" t="s">
        <v>193</v>
      </c>
      <c r="D84" s="412" t="s">
        <v>193</v>
      </c>
      <c r="E84" s="411"/>
      <c r="F84" s="410" t="s">
        <v>193</v>
      </c>
      <c r="G84" s="410"/>
      <c r="H84" s="409" t="s">
        <v>193</v>
      </c>
      <c r="I84" s="409"/>
      <c r="J84" s="921" t="s">
        <v>193</v>
      </c>
      <c r="K84" s="908" t="s">
        <v>1360</v>
      </c>
      <c r="L84" s="340" t="s">
        <v>1360</v>
      </c>
      <c r="M84" s="340" t="s">
        <v>1360</v>
      </c>
      <c r="N84" s="340" t="s">
        <v>1360</v>
      </c>
      <c r="O84" s="340" t="s">
        <v>1360</v>
      </c>
      <c r="P84" s="340" t="s">
        <v>1360</v>
      </c>
      <c r="Q84" s="340" t="s">
        <v>1360</v>
      </c>
      <c r="R84" s="938" t="s">
        <v>1360</v>
      </c>
      <c r="AB84" s="407" t="s">
        <v>659</v>
      </c>
      <c r="AC84" s="406" t="s">
        <v>663</v>
      </c>
      <c r="AD84" s="405" t="s">
        <v>663</v>
      </c>
      <c r="AE84" s="404" t="s">
        <v>663</v>
      </c>
      <c r="AF84" s="403" t="s">
        <v>663</v>
      </c>
      <c r="AG84" s="402" t="s">
        <v>663</v>
      </c>
    </row>
    <row r="85" spans="1:33" ht="15" x14ac:dyDescent="0.2">
      <c r="A85" s="340" t="str">
        <f t="shared" si="49"/>
        <v>Construction Truck</v>
      </c>
      <c r="B85" s="922"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923">
        <v>69543.339670011163</v>
      </c>
      <c r="K85" s="946">
        <f>VehicleCostData2023!AE82</f>
        <v>1137344.8503307651</v>
      </c>
      <c r="L85" s="836">
        <f>VehicleCostData2023!AF82</f>
        <v>1383611.7088645061</v>
      </c>
      <c r="M85" s="836">
        <f>VehicleCostData2023!AG82</f>
        <v>1421742.7272348688</v>
      </c>
      <c r="N85" s="836">
        <f>VehicleCostData2023!AH82</f>
        <v>1459873.7456052315</v>
      </c>
      <c r="O85" s="836">
        <f>VehicleCostData2023!AI82</f>
        <v>1490827.5195919413</v>
      </c>
      <c r="P85" s="836">
        <f>VehicleCostData2023!AJ82</f>
        <v>1521781.2935786508</v>
      </c>
      <c r="Q85" s="836">
        <f>VehicleCostData2023!AK82</f>
        <v>1550292.485324691</v>
      </c>
      <c r="R85" s="947">
        <f>VehicleCostData2023!AL82</f>
        <v>1578803.6770707315</v>
      </c>
      <c r="S85" s="348">
        <f t="shared" ref="S85:Z92" si="50">C85/C$85</f>
        <v>1</v>
      </c>
      <c r="T85" s="348">
        <f t="shared" si="50"/>
        <v>1</v>
      </c>
      <c r="U85" s="348">
        <f t="shared" si="50"/>
        <v>1</v>
      </c>
      <c r="V85" s="348">
        <f t="shared" si="50"/>
        <v>1</v>
      </c>
      <c r="W85" s="348">
        <f t="shared" si="50"/>
        <v>1</v>
      </c>
      <c r="X85" s="348">
        <f t="shared" si="50"/>
        <v>1</v>
      </c>
      <c r="Y85" s="348">
        <f t="shared" si="50"/>
        <v>1</v>
      </c>
      <c r="Z85" s="348">
        <f t="shared" si="50"/>
        <v>1</v>
      </c>
      <c r="AB85" s="384" t="s">
        <v>687</v>
      </c>
      <c r="AC85" s="383">
        <v>13.15733229927832</v>
      </c>
      <c r="AD85" s="382">
        <v>12.08372523506852</v>
      </c>
      <c r="AE85" s="381">
        <v>11.084387942527147</v>
      </c>
      <c r="AF85" s="380">
        <v>10.395192174875143</v>
      </c>
      <c r="AG85" s="379">
        <v>9.891747987713071</v>
      </c>
    </row>
    <row r="86" spans="1:33" ht="15" x14ac:dyDescent="0.2">
      <c r="A86" s="340" t="str">
        <f t="shared" si="49"/>
        <v>Construction Truck</v>
      </c>
      <c r="B86" s="922"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923">
        <v>72584.198123675305</v>
      </c>
      <c r="K86" s="946">
        <f>VehicleCostData2023!AE83</f>
        <v>1346309.0076455197</v>
      </c>
      <c r="L86" s="836">
        <f>VehicleCostData2023!AF83</f>
        <v>1554634.2240061136</v>
      </c>
      <c r="M86" s="836">
        <f>VehicleCostData2023!AG83</f>
        <v>1564774.0762279797</v>
      </c>
      <c r="N86" s="836">
        <f>VehicleCostData2023!AH83</f>
        <v>1574913.9284498463</v>
      </c>
      <c r="O86" s="836">
        <f>VehicleCostData2023!AI83</f>
        <v>1591873.0744862277</v>
      </c>
      <c r="P86" s="836">
        <f>VehicleCostData2023!AJ83</f>
        <v>1608832.2205226088</v>
      </c>
      <c r="Q86" s="836">
        <f>VehicleCostData2023!AK83</f>
        <v>1628335.4060461875</v>
      </c>
      <c r="R86" s="947">
        <f>VehicleCostData2023!AL83</f>
        <v>1647838.5915697664</v>
      </c>
      <c r="S86" s="348">
        <f t="shared" si="50"/>
        <v>1.1837298135688425</v>
      </c>
      <c r="T86" s="348">
        <f t="shared" si="50"/>
        <v>1.1236058599720591</v>
      </c>
      <c r="U86" s="348">
        <f t="shared" si="50"/>
        <v>1.1006028349948314</v>
      </c>
      <c r="V86" s="348">
        <f t="shared" si="50"/>
        <v>1.0788014601885465</v>
      </c>
      <c r="W86" s="348">
        <f t="shared" si="50"/>
        <v>1.0677781658618322</v>
      </c>
      <c r="X86" s="348">
        <f t="shared" si="50"/>
        <v>1.0572033099048335</v>
      </c>
      <c r="Y86" s="348">
        <f t="shared" si="50"/>
        <v>1.0503407721189795</v>
      </c>
      <c r="Z86" s="348">
        <f t="shared" si="50"/>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49"/>
        <v>Construction Truck</v>
      </c>
      <c r="B87" s="922"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923">
        <v>76325.45168161644</v>
      </c>
      <c r="K87" s="946">
        <f>VehicleCostData2023!AE84</f>
        <v>1342249.3600168284</v>
      </c>
      <c r="L87" s="836">
        <f>VehicleCostData2023!AF84</f>
        <v>1491260.0402134496</v>
      </c>
      <c r="M87" s="836">
        <f>VehicleCostData2023!AG84</f>
        <v>1513798.9961644816</v>
      </c>
      <c r="N87" s="836">
        <f>VehicleCostData2023!AH84</f>
        <v>1536337.9521155139</v>
      </c>
      <c r="O87" s="836">
        <f>VehicleCostData2023!AI84</f>
        <v>1582717.2948413345</v>
      </c>
      <c r="P87" s="836">
        <f>VehicleCostData2023!AJ84</f>
        <v>1629096.6375671551</v>
      </c>
      <c r="Q87" s="836">
        <f>VehicleCostData2023!AK84</f>
        <v>1680935.4116440627</v>
      </c>
      <c r="R87" s="947">
        <f>VehicleCostData2023!AL84</f>
        <v>1732774.1857209706</v>
      </c>
      <c r="S87" s="348">
        <f t="shared" si="50"/>
        <v>1.1801604057260844</v>
      </c>
      <c r="T87" s="348">
        <f t="shared" si="50"/>
        <v>1.0778024142606366</v>
      </c>
      <c r="U87" s="348">
        <f t="shared" si="50"/>
        <v>1.0647488938513174</v>
      </c>
      <c r="V87" s="348">
        <f t="shared" si="50"/>
        <v>1.0523772735419539</v>
      </c>
      <c r="W87" s="348">
        <f t="shared" si="50"/>
        <v>1.0616367581372155</v>
      </c>
      <c r="X87" s="348">
        <f t="shared" si="50"/>
        <v>1.0705195578637583</v>
      </c>
      <c r="Y87" s="348">
        <f t="shared" si="50"/>
        <v>1.0842698571760221</v>
      </c>
      <c r="Z87" s="348">
        <f t="shared" si="50"/>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49"/>
        <v>Construction Truck</v>
      </c>
      <c r="B88" s="922"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923">
        <v>74071.864505954203</v>
      </c>
      <c r="K88" s="946">
        <f>VehicleCostData2023!AE85</f>
        <v>1413868.2874237234</v>
      </c>
      <c r="L88" s="836">
        <f>VehicleCostData2023!AF85</f>
        <v>1502505.4928576599</v>
      </c>
      <c r="M88" s="836">
        <f>VehicleCostData2023!AG85</f>
        <v>1511523.7795690347</v>
      </c>
      <c r="N88" s="836">
        <f>VehicleCostData2023!AH85</f>
        <v>1520542.066280409</v>
      </c>
      <c r="O88" s="836">
        <f>VehicleCostData2023!AI85</f>
        <v>1555267.1003705533</v>
      </c>
      <c r="P88" s="836">
        <f>VehicleCostData2023!AJ85</f>
        <v>1589992.1344606976</v>
      </c>
      <c r="Q88" s="836">
        <f>VehicleCostData2023!AK85</f>
        <v>1635802.1933410501</v>
      </c>
      <c r="R88" s="947">
        <f>VehicleCostData2023!AL85</f>
        <v>1681612.2522214027</v>
      </c>
      <c r="S88" s="348">
        <f t="shared" si="50"/>
        <v>1.2431306890012639</v>
      </c>
      <c r="T88" s="348">
        <f t="shared" si="50"/>
        <v>1.0859300215742804</v>
      </c>
      <c r="U88" s="348">
        <f t="shared" si="50"/>
        <v>1.0631485926492341</v>
      </c>
      <c r="V88" s="348">
        <f t="shared" si="50"/>
        <v>1.0415572379856901</v>
      </c>
      <c r="W88" s="348">
        <f t="shared" si="50"/>
        <v>1.0432240349280983</v>
      </c>
      <c r="X88" s="348">
        <f t="shared" si="50"/>
        <v>1.0448230249444326</v>
      </c>
      <c r="Y88" s="348">
        <f t="shared" si="50"/>
        <v>1.0551571453940514</v>
      </c>
      <c r="Z88" s="348">
        <f t="shared" si="50"/>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49"/>
        <v>Construction Truck</v>
      </c>
      <c r="B89" s="922" t="s">
        <v>692</v>
      </c>
      <c r="C89" s="401"/>
      <c r="D89" s="400"/>
      <c r="E89" s="399"/>
      <c r="F89" s="398"/>
      <c r="G89" s="398"/>
      <c r="H89" s="397"/>
      <c r="I89" s="397"/>
      <c r="J89" s="924"/>
      <c r="K89" s="946">
        <f>VehicleCostData2023!AE86</f>
        <v>0</v>
      </c>
      <c r="L89" s="836">
        <f>VehicleCostData2023!AF86</f>
        <v>0</v>
      </c>
      <c r="M89" s="836">
        <f>VehicleCostData2023!AG86</f>
        <v>0</v>
      </c>
      <c r="N89" s="836">
        <f>VehicleCostData2023!AH86</f>
        <v>0</v>
      </c>
      <c r="O89" s="836">
        <f>VehicleCostData2023!AI86</f>
        <v>0</v>
      </c>
      <c r="P89" s="836">
        <f>VehicleCostData2023!AJ86</f>
        <v>0</v>
      </c>
      <c r="Q89" s="836">
        <f>VehicleCostData2023!AK86</f>
        <v>0</v>
      </c>
      <c r="R89" s="947">
        <f>VehicleCostData2023!AL86</f>
        <v>0</v>
      </c>
      <c r="S89" s="348">
        <f t="shared" si="50"/>
        <v>0</v>
      </c>
      <c r="T89" s="348">
        <f t="shared" si="50"/>
        <v>0</v>
      </c>
      <c r="U89" s="348">
        <f t="shared" si="50"/>
        <v>0</v>
      </c>
      <c r="V89" s="348">
        <f t="shared" si="50"/>
        <v>0</v>
      </c>
      <c r="W89" s="348">
        <f t="shared" si="50"/>
        <v>0</v>
      </c>
      <c r="X89" s="348">
        <f t="shared" si="50"/>
        <v>0</v>
      </c>
      <c r="Y89" s="348">
        <f t="shared" si="50"/>
        <v>0</v>
      </c>
      <c r="Z89" s="348">
        <f t="shared" si="50"/>
        <v>0</v>
      </c>
      <c r="AB89" s="384" t="s">
        <v>692</v>
      </c>
      <c r="AC89" s="395"/>
      <c r="AD89" s="394"/>
      <c r="AE89" s="393"/>
      <c r="AF89" s="392"/>
      <c r="AG89" s="391"/>
    </row>
    <row r="90" spans="1:33" ht="15" x14ac:dyDescent="0.2">
      <c r="A90" s="340" t="str">
        <f t="shared" si="49"/>
        <v>Construction Truck</v>
      </c>
      <c r="B90" s="922"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923">
        <v>72495.273137682903</v>
      </c>
      <c r="K90" s="946">
        <f>VehicleCostData2023!AE87</f>
        <v>6360106.1214327365</v>
      </c>
      <c r="L90" s="836">
        <f>VehicleCostData2023!AF87</f>
        <v>2830881.8939991225</v>
      </c>
      <c r="M90" s="836">
        <f>VehicleCostData2023!AG87</f>
        <v>2272344.3366048341</v>
      </c>
      <c r="N90" s="836">
        <f>VehicleCostData2023!AH87</f>
        <v>1713806.7792105449</v>
      </c>
      <c r="O90" s="836">
        <f>VehicleCostData2023!AI87</f>
        <v>1666904.5825543196</v>
      </c>
      <c r="P90" s="836">
        <f>VehicleCostData2023!AJ87</f>
        <v>1620002.3858980946</v>
      </c>
      <c r="Q90" s="836">
        <f>VehicleCostData2023!AK87</f>
        <v>1632911.0815388313</v>
      </c>
      <c r="R90" s="947">
        <f>VehicleCostData2023!AL87</f>
        <v>1645819.7771795681</v>
      </c>
      <c r="S90" s="348">
        <f t="shared" si="50"/>
        <v>5.5920648162103834</v>
      </c>
      <c r="T90" s="348">
        <f t="shared" si="50"/>
        <v>2.0460089169976405</v>
      </c>
      <c r="U90" s="348">
        <f t="shared" si="50"/>
        <v>1.5982809639717943</v>
      </c>
      <c r="V90" s="348">
        <f t="shared" si="50"/>
        <v>1.1739417770678782</v>
      </c>
      <c r="W90" s="348">
        <f t="shared" si="50"/>
        <v>1.1181069309819107</v>
      </c>
      <c r="X90" s="348">
        <f t="shared" si="50"/>
        <v>1.0645435009182334</v>
      </c>
      <c r="Y90" s="348">
        <f t="shared" si="50"/>
        <v>1.0532922638767981</v>
      </c>
      <c r="Z90" s="348">
        <f t="shared" si="50"/>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49"/>
        <v>Construction Truck</v>
      </c>
      <c r="B91" s="922"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923">
        <v>79269.06805478195</v>
      </c>
      <c r="K91" s="946">
        <f>VehicleCostData2023!AE88</f>
        <v>1695854.156363609</v>
      </c>
      <c r="L91" s="836">
        <f>VehicleCostData2023!AF88</f>
        <v>1732356.5987769766</v>
      </c>
      <c r="M91" s="836">
        <f>VehicleCostData2023!AG88</f>
        <v>1736897.2929585287</v>
      </c>
      <c r="N91" s="836">
        <f>VehicleCostData2023!AH88</f>
        <v>1741437.9871400804</v>
      </c>
      <c r="O91" s="836">
        <f>VehicleCostData2023!AI88</f>
        <v>1754044.2259131225</v>
      </c>
      <c r="P91" s="836">
        <f>VehicleCostData2023!AJ88</f>
        <v>1766650.4646861646</v>
      </c>
      <c r="Q91" s="836">
        <f>VehicleCostData2023!AK88</f>
        <v>1783125.9660776728</v>
      </c>
      <c r="R91" s="947">
        <f>VehicleCostData2023!AL88</f>
        <v>1799601.4674691809</v>
      </c>
      <c r="S91" s="348">
        <f t="shared" si="50"/>
        <v>1.4910641709683894</v>
      </c>
      <c r="T91" s="348">
        <f t="shared" si="50"/>
        <v>1.2520540175239454</v>
      </c>
      <c r="U91" s="348">
        <f t="shared" si="50"/>
        <v>1.2216677881916094</v>
      </c>
      <c r="V91" s="348">
        <f t="shared" si="50"/>
        <v>1.1928688986855631</v>
      </c>
      <c r="W91" s="348">
        <f t="shared" si="50"/>
        <v>1.1765574507192</v>
      </c>
      <c r="X91" s="348">
        <f t="shared" si="50"/>
        <v>1.1609095683727815</v>
      </c>
      <c r="Y91" s="348">
        <f t="shared" si="50"/>
        <v>1.1501868085906495</v>
      </c>
      <c r="Z91" s="348">
        <f t="shared" si="50"/>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49"/>
        <v>Construction Truck</v>
      </c>
      <c r="B92" s="922"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923">
        <v>76260.254204133933</v>
      </c>
      <c r="K92" s="946">
        <f>VehicleCostData2023!AE89</f>
        <v>1624779.2570494437</v>
      </c>
      <c r="L92" s="836">
        <f>VehicleCostData2023!AF89</f>
        <v>1664860.6987788989</v>
      </c>
      <c r="M92" s="836">
        <f>VehicleCostData2023!AG89</f>
        <v>1668630.0219125191</v>
      </c>
      <c r="N92" s="836">
        <f>VehicleCostData2023!AH89</f>
        <v>1672399.3450461391</v>
      </c>
      <c r="O92" s="836">
        <f>VehicleCostData2023!AI89</f>
        <v>1685256.2227432285</v>
      </c>
      <c r="P92" s="836">
        <f>VehicleCostData2023!AJ89</f>
        <v>1698113.1004403182</v>
      </c>
      <c r="Q92" s="836">
        <f>VehicleCostData2023!AK89</f>
        <v>1714703.5720855389</v>
      </c>
      <c r="R92" s="947">
        <f>VehicleCostData2023!AL89</f>
        <v>1731294.0437307595</v>
      </c>
      <c r="S92" s="348">
        <f t="shared" si="50"/>
        <v>1.4285722193905583</v>
      </c>
      <c r="T92" s="348">
        <f t="shared" si="50"/>
        <v>1.2032716173999471</v>
      </c>
      <c r="U92" s="348">
        <f t="shared" si="50"/>
        <v>1.1736511746803999</v>
      </c>
      <c r="V92" s="348">
        <f t="shared" si="50"/>
        <v>1.1455780680217651</v>
      </c>
      <c r="W92" s="348">
        <f t="shared" si="50"/>
        <v>1.1304166314319881</v>
      </c>
      <c r="X92" s="348">
        <f t="shared" si="50"/>
        <v>1.1158719768771779</v>
      </c>
      <c r="Y92" s="348">
        <f t="shared" si="50"/>
        <v>1.1060516569080923</v>
      </c>
      <c r="Z92" s="348">
        <f t="shared" si="50"/>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49"/>
        <v>Construction Truck</v>
      </c>
      <c r="B93" s="908"/>
      <c r="J93" s="891"/>
      <c r="K93" s="908">
        <f>VehicleCostData2023!AE90</f>
        <v>0</v>
      </c>
      <c r="L93" s="340">
        <f>VehicleCostData2023!AF90</f>
        <v>0</v>
      </c>
      <c r="M93" s="340">
        <f>VehicleCostData2023!AG90</f>
        <v>0</v>
      </c>
      <c r="N93" s="340">
        <f>VehicleCostData2023!AH90</f>
        <v>0</v>
      </c>
      <c r="O93" s="340">
        <f>VehicleCostData2023!AI90</f>
        <v>0</v>
      </c>
      <c r="P93" s="340">
        <f>VehicleCostData2023!AJ90</f>
        <v>0</v>
      </c>
      <c r="Q93" s="340">
        <f>VehicleCostData2023!AK90</f>
        <v>0</v>
      </c>
      <c r="R93" s="938">
        <f>VehicleCostData2023!AL90</f>
        <v>0</v>
      </c>
    </row>
    <row r="94" spans="1:33" x14ac:dyDescent="0.2">
      <c r="A94" s="340" t="str">
        <f t="shared" si="49"/>
        <v>Construction Truck</v>
      </c>
      <c r="B94" s="925" t="s">
        <v>832</v>
      </c>
      <c r="C94" s="377" t="s">
        <v>831</v>
      </c>
      <c r="D94" s="376">
        <v>0.08</v>
      </c>
      <c r="E94" s="375"/>
      <c r="J94" s="891"/>
      <c r="K94" s="908">
        <f>VehicleCostData2023!AE91</f>
        <v>0</v>
      </c>
      <c r="L94" s="340">
        <f>VehicleCostData2023!AF91</f>
        <v>0</v>
      </c>
      <c r="M94" s="340">
        <f>VehicleCostData2023!AG91</f>
        <v>0</v>
      </c>
      <c r="N94" s="340">
        <f>VehicleCostData2023!AH91</f>
        <v>0</v>
      </c>
      <c r="O94" s="340">
        <f>VehicleCostData2023!AI91</f>
        <v>0</v>
      </c>
      <c r="P94" s="340">
        <f>VehicleCostData2023!AJ91</f>
        <v>0</v>
      </c>
      <c r="Q94" s="340">
        <f>VehicleCostData2023!AK91</f>
        <v>0</v>
      </c>
      <c r="R94" s="938">
        <f>VehicleCostData2023!AL91</f>
        <v>0</v>
      </c>
      <c r="AB94" s="374" t="s">
        <v>816</v>
      </c>
    </row>
    <row r="95" spans="1:33" x14ac:dyDescent="0.2">
      <c r="A95" s="340" t="str">
        <f>B95</f>
        <v>Bus</v>
      </c>
      <c r="B95" s="926" t="s">
        <v>60</v>
      </c>
      <c r="C95" s="369">
        <v>2010</v>
      </c>
      <c r="D95" s="369">
        <v>2020</v>
      </c>
      <c r="E95" s="372"/>
      <c r="F95" s="369">
        <v>2030</v>
      </c>
      <c r="G95" s="369"/>
      <c r="H95" s="369">
        <v>2040</v>
      </c>
      <c r="I95" s="369"/>
      <c r="J95" s="895">
        <v>2050</v>
      </c>
      <c r="K95" s="942">
        <f>VehicleCostData2023!AE92</f>
        <v>2010</v>
      </c>
      <c r="L95" s="371">
        <f>VehicleCostData2023!AF92</f>
        <v>2020</v>
      </c>
      <c r="M95" s="371">
        <f>VehicleCostData2023!AG92</f>
        <v>0</v>
      </c>
      <c r="N95" s="371">
        <f>VehicleCostData2023!AH92</f>
        <v>2030</v>
      </c>
      <c r="O95" s="371">
        <f>VehicleCostData2023!AI92</f>
        <v>0</v>
      </c>
      <c r="P95" s="371">
        <f>VehicleCostData2023!AJ92</f>
        <v>2040</v>
      </c>
      <c r="Q95" s="371">
        <f>VehicleCostData2023!AK92</f>
        <v>0</v>
      </c>
      <c r="R95" s="943">
        <f>VehicleCostData2023!AL92</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51">A95</f>
        <v>Bus</v>
      </c>
      <c r="B96" s="927" t="s">
        <v>791</v>
      </c>
      <c r="C96" s="367" t="s">
        <v>193</v>
      </c>
      <c r="D96" s="366" t="s">
        <v>193</v>
      </c>
      <c r="E96" s="365"/>
      <c r="F96" s="364" t="s">
        <v>193</v>
      </c>
      <c r="G96" s="364"/>
      <c r="H96" s="363" t="s">
        <v>193</v>
      </c>
      <c r="I96" s="363"/>
      <c r="J96" s="928" t="s">
        <v>193</v>
      </c>
      <c r="K96" s="908" t="s">
        <v>1360</v>
      </c>
      <c r="L96" s="340" t="s">
        <v>1360</v>
      </c>
      <c r="M96" s="340" t="s">
        <v>1360</v>
      </c>
      <c r="N96" s="340" t="s">
        <v>1360</v>
      </c>
      <c r="O96" s="340" t="s">
        <v>1360</v>
      </c>
      <c r="P96" s="340" t="s">
        <v>1360</v>
      </c>
      <c r="Q96" s="340" t="s">
        <v>1360</v>
      </c>
      <c r="R96" s="938" t="s">
        <v>1360</v>
      </c>
      <c r="AB96" s="361" t="s">
        <v>659</v>
      </c>
      <c r="AC96" s="360" t="s">
        <v>663</v>
      </c>
      <c r="AD96" s="359" t="s">
        <v>663</v>
      </c>
      <c r="AE96" s="358" t="s">
        <v>663</v>
      </c>
      <c r="AF96" s="357" t="s">
        <v>663</v>
      </c>
      <c r="AG96" s="356" t="s">
        <v>663</v>
      </c>
    </row>
    <row r="97" spans="1:33" ht="15" x14ac:dyDescent="0.2">
      <c r="A97" s="340" t="str">
        <f t="shared" si="51"/>
        <v>Bus</v>
      </c>
      <c r="B97" s="929" t="s">
        <v>687</v>
      </c>
      <c r="C97" s="354">
        <v>104585.67980691875</v>
      </c>
      <c r="D97" s="353">
        <v>113077.07610471442</v>
      </c>
      <c r="E97" s="350">
        <f t="shared" ref="E97:E104" si="52">AVERAGE(D97,F97)</f>
        <v>115188.39593625024</v>
      </c>
      <c r="F97" s="352">
        <v>117299.71576778605</v>
      </c>
      <c r="G97" s="350">
        <f t="shared" ref="G97:G104" si="53">AVERAGE(F97,H97)</f>
        <v>118657.16814124331</v>
      </c>
      <c r="H97" s="351">
        <v>120014.62051470055</v>
      </c>
      <c r="I97" s="350">
        <f t="shared" ref="I97:I104" si="54">AVERAGE(H97,J97)</f>
        <v>121564.25896065209</v>
      </c>
      <c r="J97" s="930">
        <v>123113.89740660363</v>
      </c>
      <c r="K97" s="946">
        <f>VehicleCostData2023!AE94</f>
        <v>2374350.3925985522</v>
      </c>
      <c r="L97" s="836">
        <f>VehicleCostData2023!AF94</f>
        <v>2567125.8296431107</v>
      </c>
      <c r="M97" s="836">
        <f>VehicleCostData2023!AG94</f>
        <v>2615057.9469287945</v>
      </c>
      <c r="N97" s="836">
        <f>VehicleCostData2023!AH94</f>
        <v>2662990.0642144778</v>
      </c>
      <c r="O97" s="836">
        <f>VehicleCostData2023!AI94</f>
        <v>2693807.5488051251</v>
      </c>
      <c r="P97" s="836">
        <f>VehicleCostData2023!AJ94</f>
        <v>2724625.0333957719</v>
      </c>
      <c r="Q97" s="836">
        <f>VehicleCostData2023!AK94</f>
        <v>2759805.6112657399</v>
      </c>
      <c r="R97" s="947">
        <f>VehicleCostData2023!AL94</f>
        <v>2794986.1891357079</v>
      </c>
      <c r="S97" s="348">
        <f t="shared" ref="S97:Z104" si="55">C97/C$97</f>
        <v>1</v>
      </c>
      <c r="T97" s="348">
        <f t="shared" si="55"/>
        <v>1</v>
      </c>
      <c r="U97" s="348">
        <f t="shared" si="55"/>
        <v>1</v>
      </c>
      <c r="V97" s="348">
        <f t="shared" si="55"/>
        <v>1</v>
      </c>
      <c r="W97" s="348">
        <f t="shared" si="55"/>
        <v>1</v>
      </c>
      <c r="X97" s="348">
        <f t="shared" si="55"/>
        <v>1</v>
      </c>
      <c r="Y97" s="348">
        <f t="shared" si="55"/>
        <v>1</v>
      </c>
      <c r="Z97" s="348">
        <f t="shared" si="55"/>
        <v>1</v>
      </c>
      <c r="AB97" s="347" t="s">
        <v>687</v>
      </c>
      <c r="AC97" s="346">
        <v>13.994490402622045</v>
      </c>
      <c r="AD97" s="345">
        <v>13.191801941531427</v>
      </c>
      <c r="AE97" s="344">
        <v>11.734984998533537</v>
      </c>
      <c r="AF97" s="343">
        <v>11.220071176529693</v>
      </c>
      <c r="AG97" s="342">
        <v>10.791662866044483</v>
      </c>
    </row>
    <row r="98" spans="1:33" ht="15" x14ac:dyDescent="0.2">
      <c r="A98" s="340" t="str">
        <f t="shared" si="51"/>
        <v>Bus</v>
      </c>
      <c r="B98" s="929" t="s">
        <v>829</v>
      </c>
      <c r="C98" s="354">
        <v>112781.74324159419</v>
      </c>
      <c r="D98" s="353">
        <v>119843.62290240868</v>
      </c>
      <c r="E98" s="350">
        <f t="shared" si="52"/>
        <v>120931.82437835461</v>
      </c>
      <c r="F98" s="352">
        <v>122020.02585430053</v>
      </c>
      <c r="G98" s="350">
        <f t="shared" si="53"/>
        <v>122869.25200041107</v>
      </c>
      <c r="H98" s="351">
        <v>123718.47814652159</v>
      </c>
      <c r="I98" s="350">
        <f t="shared" si="54"/>
        <v>124937.38050446415</v>
      </c>
      <c r="J98" s="930">
        <v>126156.2828624067</v>
      </c>
      <c r="K98" s="946">
        <f>VehicleCostData2023!AE95</f>
        <v>2560421.0522702299</v>
      </c>
      <c r="L98" s="836">
        <f>VehicleCostData2023!AF95</f>
        <v>2720742.9699179786</v>
      </c>
      <c r="M98" s="836">
        <f>VehicleCostData2023!AG95</f>
        <v>2745447.8014628761</v>
      </c>
      <c r="N98" s="836">
        <f>VehicleCostData2023!AH95</f>
        <v>2770152.6330077737</v>
      </c>
      <c r="O98" s="836">
        <f>VehicleCostData2023!AI95</f>
        <v>2789432.1408442678</v>
      </c>
      <c r="P98" s="836">
        <f>VehicleCostData2023!AJ95</f>
        <v>2808711.648680761</v>
      </c>
      <c r="Q98" s="836">
        <f>VehicleCostData2023!AK95</f>
        <v>2836383.7094969568</v>
      </c>
      <c r="R98" s="947">
        <f>VehicleCostData2023!AL95</f>
        <v>2864055.7703131516</v>
      </c>
      <c r="S98" s="348">
        <f t="shared" si="55"/>
        <v>1.0783669757638583</v>
      </c>
      <c r="T98" s="348">
        <f t="shared" si="55"/>
        <v>1.0598401287934625</v>
      </c>
      <c r="U98" s="348">
        <f t="shared" si="55"/>
        <v>1.0498611721729592</v>
      </c>
      <c r="V98" s="348">
        <f t="shared" si="55"/>
        <v>1.0402414452210533</v>
      </c>
      <c r="W98" s="348">
        <f t="shared" si="55"/>
        <v>1.0354979300884202</v>
      </c>
      <c r="X98" s="348">
        <f t="shared" si="55"/>
        <v>1.0308617201465662</v>
      </c>
      <c r="Y98" s="348">
        <f t="shared" si="55"/>
        <v>1.0277476420508092</v>
      </c>
      <c r="Z98" s="348">
        <f t="shared" si="55"/>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51"/>
        <v>Bus</v>
      </c>
      <c r="B99" s="929" t="s">
        <v>828</v>
      </c>
      <c r="C99" s="354">
        <v>113443.27980691874</v>
      </c>
      <c r="D99" s="353">
        <v>117649.86503170698</v>
      </c>
      <c r="E99" s="350">
        <f t="shared" si="52"/>
        <v>118979.95394617732</v>
      </c>
      <c r="F99" s="352">
        <v>120310.04286064766</v>
      </c>
      <c r="G99" s="350">
        <f t="shared" si="53"/>
        <v>121286.87552080402</v>
      </c>
      <c r="H99" s="351">
        <v>122263.7081809604</v>
      </c>
      <c r="I99" s="350">
        <f t="shared" si="54"/>
        <v>123565.6368522952</v>
      </c>
      <c r="J99" s="930">
        <v>124867.56552362998</v>
      </c>
      <c r="K99" s="946">
        <f>VehicleCostData2023!AE96</f>
        <v>2575439.5481723119</v>
      </c>
      <c r="L99" s="836">
        <f>VehicleCostData2023!AF96</f>
        <v>2670939.3077800749</v>
      </c>
      <c r="M99" s="836">
        <f>VehicleCostData2023!AG96</f>
        <v>2701135.5750137344</v>
      </c>
      <c r="N99" s="836">
        <f>VehicleCostData2023!AH96</f>
        <v>2731331.8422473934</v>
      </c>
      <c r="O99" s="836">
        <f>VehicleCostData2023!AI96</f>
        <v>2753508.3296443988</v>
      </c>
      <c r="P99" s="836">
        <f>VehicleCostData2023!AJ96</f>
        <v>2775684.8170414036</v>
      </c>
      <c r="Q99" s="836">
        <f>VehicleCostData2023!AK96</f>
        <v>2805241.7779716766</v>
      </c>
      <c r="R99" s="947">
        <f>VehicleCostData2023!AL96</f>
        <v>2834798.7389019486</v>
      </c>
      <c r="S99" s="348">
        <f t="shared" si="55"/>
        <v>1.084692283076923</v>
      </c>
      <c r="T99" s="348">
        <f t="shared" si="55"/>
        <v>1.0404395752394406</v>
      </c>
      <c r="U99" s="348">
        <f t="shared" si="55"/>
        <v>1.0329161455814133</v>
      </c>
      <c r="V99" s="348">
        <f t="shared" si="55"/>
        <v>1.0256635497635906</v>
      </c>
      <c r="W99" s="348">
        <f t="shared" si="55"/>
        <v>1.0221622293937644</v>
      </c>
      <c r="X99" s="348">
        <f t="shared" si="55"/>
        <v>1.0187401139679007</v>
      </c>
      <c r="Y99" s="348">
        <f t="shared" si="55"/>
        <v>1.0164635387798555</v>
      </c>
      <c r="Z99" s="348">
        <f t="shared" si="55"/>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51"/>
        <v>Bus</v>
      </c>
      <c r="B100" s="929" t="s">
        <v>689</v>
      </c>
      <c r="C100" s="354">
        <v>116351.42843540911</v>
      </c>
      <c r="D100" s="353">
        <v>119377.37392363261</v>
      </c>
      <c r="E100" s="350">
        <f t="shared" si="52"/>
        <v>119821.79555029134</v>
      </c>
      <c r="F100" s="352">
        <v>120266.21717695009</v>
      </c>
      <c r="G100" s="350">
        <f t="shared" si="53"/>
        <v>120754.76021338374</v>
      </c>
      <c r="H100" s="351">
        <v>121243.30324981739</v>
      </c>
      <c r="I100" s="350">
        <f t="shared" si="54"/>
        <v>122275.5039036619</v>
      </c>
      <c r="J100" s="930">
        <v>123307.70455750641</v>
      </c>
      <c r="K100" s="946">
        <f>VehicleCostData2023!AE97</f>
        <v>2641461.6254828833</v>
      </c>
      <c r="L100" s="836">
        <f>VehicleCostData2023!AF97</f>
        <v>2710157.9792400058</v>
      </c>
      <c r="M100" s="836">
        <f>VehicleCostData2023!AG97</f>
        <v>2720247.4357094248</v>
      </c>
      <c r="N100" s="836">
        <f>VehicleCostData2023!AH97</f>
        <v>2730336.8921788437</v>
      </c>
      <c r="O100" s="836">
        <f>VehicleCostData2023!AI97</f>
        <v>2741428.0124211079</v>
      </c>
      <c r="P100" s="836">
        <f>VehicleCostData2023!AJ97</f>
        <v>2752519.1326633729</v>
      </c>
      <c r="Q100" s="836">
        <f>VehicleCostData2023!AK97</f>
        <v>2775952.6087589604</v>
      </c>
      <c r="R100" s="947">
        <f>VehicleCostData2023!AL97</f>
        <v>2799386.0848545479</v>
      </c>
      <c r="S100" s="348">
        <f t="shared" si="55"/>
        <v>1.1124986580401039</v>
      </c>
      <c r="T100" s="348">
        <f t="shared" si="55"/>
        <v>1.0557168440850366</v>
      </c>
      <c r="U100" s="348">
        <f t="shared" si="55"/>
        <v>1.0402245345668795</v>
      </c>
      <c r="V100" s="348">
        <f t="shared" si="55"/>
        <v>1.0252899283663799</v>
      </c>
      <c r="W100" s="348">
        <f t="shared" si="55"/>
        <v>1.0176777526802558</v>
      </c>
      <c r="X100" s="348">
        <f t="shared" si="55"/>
        <v>1.0102377754464202</v>
      </c>
      <c r="Y100" s="348">
        <f t="shared" si="55"/>
        <v>1.005850773484664</v>
      </c>
      <c r="Z100" s="348">
        <f t="shared" si="55"/>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51"/>
        <v>Bus</v>
      </c>
      <c r="B101" s="929" t="s">
        <v>692</v>
      </c>
      <c r="C101" s="354">
        <v>210032.009662809</v>
      </c>
      <c r="D101" s="353">
        <v>160147.05094959697</v>
      </c>
      <c r="E101" s="350">
        <f t="shared" si="52"/>
        <v>151867.75591154594</v>
      </c>
      <c r="F101" s="352">
        <v>143588.46087349489</v>
      </c>
      <c r="G101" s="350">
        <f t="shared" si="53"/>
        <v>144564.87323401903</v>
      </c>
      <c r="H101" s="351">
        <v>145541.28559454315</v>
      </c>
      <c r="I101" s="350">
        <f t="shared" si="54"/>
        <v>146467.9438683865</v>
      </c>
      <c r="J101" s="930">
        <v>147394.60214222985</v>
      </c>
      <c r="K101" s="946">
        <f>VehicleCostData2023!AE98</f>
        <v>4768239.6435325667</v>
      </c>
      <c r="L101" s="836">
        <f>VehicleCostData2023!AF98</f>
        <v>3635729.2317425008</v>
      </c>
      <c r="M101" s="836">
        <f>VehicleCostData2023!AG98</f>
        <v>3447769.0113726826</v>
      </c>
      <c r="N101" s="836">
        <f>VehicleCostData2023!AH98</f>
        <v>3259808.7910028636</v>
      </c>
      <c r="O101" s="836">
        <f>VehicleCostData2023!AI98</f>
        <v>3281975.7365715932</v>
      </c>
      <c r="P101" s="836">
        <f>VehicleCostData2023!AJ98</f>
        <v>3304142.6821403229</v>
      </c>
      <c r="Q101" s="836">
        <f>VehicleCostData2023!AK98</f>
        <v>3325180.0884120665</v>
      </c>
      <c r="R101" s="947">
        <f>VehicleCostData2023!AL98</f>
        <v>3346217.49468381</v>
      </c>
      <c r="S101" s="348">
        <f t="shared" si="55"/>
        <v>2.008229138545166</v>
      </c>
      <c r="T101" s="348">
        <f t="shared" si="55"/>
        <v>1.4162645203285382</v>
      </c>
      <c r="U101" s="348">
        <f t="shared" si="55"/>
        <v>1.3184292973017482</v>
      </c>
      <c r="V101" s="348">
        <f t="shared" si="55"/>
        <v>1.2241160171074217</v>
      </c>
      <c r="W101" s="348">
        <f t="shared" si="55"/>
        <v>1.2183408343433288</v>
      </c>
      <c r="X101" s="348">
        <f t="shared" si="55"/>
        <v>1.2126962945878401</v>
      </c>
      <c r="Y101" s="348">
        <f t="shared" si="55"/>
        <v>1.2048602535042412</v>
      </c>
      <c r="Z101" s="348">
        <f t="shared" si="55"/>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51"/>
        <v>Bus</v>
      </c>
      <c r="B102" s="929" t="s">
        <v>699</v>
      </c>
      <c r="C102" s="354">
        <v>277340.96449320531</v>
      </c>
      <c r="D102" s="353">
        <v>162518.18115955184</v>
      </c>
      <c r="E102" s="350">
        <f t="shared" si="52"/>
        <v>144863.97068257336</v>
      </c>
      <c r="F102" s="352">
        <v>127209.76020559487</v>
      </c>
      <c r="G102" s="350">
        <f t="shared" si="53"/>
        <v>125207.46042029635</v>
      </c>
      <c r="H102" s="351">
        <v>123205.16063499784</v>
      </c>
      <c r="I102" s="350">
        <f t="shared" si="54"/>
        <v>122962.68940722018</v>
      </c>
      <c r="J102" s="930">
        <v>122720.21817944253</v>
      </c>
      <c r="K102" s="946">
        <f>VehicleCostData2023!AE99</f>
        <v>6296317.3270356311</v>
      </c>
      <c r="L102" s="836">
        <f>VehicleCostData2023!AF99</f>
        <v>3689559.6792311268</v>
      </c>
      <c r="M102" s="836">
        <f>VehicleCostData2023!AG99</f>
        <v>3288765.9792292048</v>
      </c>
      <c r="N102" s="836">
        <f>VehicleCostData2023!AH99</f>
        <v>2887972.2792272815</v>
      </c>
      <c r="O102" s="836">
        <f>VehicleCostData2023!AI99</f>
        <v>2842515.1832835502</v>
      </c>
      <c r="P102" s="836">
        <f>VehicleCostData2023!AJ99</f>
        <v>2797058.087339818</v>
      </c>
      <c r="Q102" s="836">
        <f>VehicleCostData2023!AK99</f>
        <v>2791553.3982090442</v>
      </c>
      <c r="R102" s="947">
        <f>VehicleCostData2023!AL99</f>
        <v>2786048.7090782705</v>
      </c>
      <c r="S102" s="348">
        <f t="shared" si="55"/>
        <v>2.6518062989619553</v>
      </c>
      <c r="T102" s="348">
        <f t="shared" si="55"/>
        <v>1.4372336706783322</v>
      </c>
      <c r="U102" s="348">
        <f t="shared" si="55"/>
        <v>1.2576264258662544</v>
      </c>
      <c r="V102" s="348">
        <f t="shared" si="55"/>
        <v>1.0844848120299573</v>
      </c>
      <c r="W102" s="348">
        <f t="shared" si="55"/>
        <v>1.0552035109354365</v>
      </c>
      <c r="X102" s="348">
        <f t="shared" si="55"/>
        <v>1.0265845953319201</v>
      </c>
      <c r="Y102" s="348">
        <f t="shared" si="55"/>
        <v>1.0115036315651029</v>
      </c>
      <c r="Z102" s="348">
        <f t="shared" si="55"/>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51"/>
        <v>Bus</v>
      </c>
      <c r="B103" s="929" t="s">
        <v>827</v>
      </c>
      <c r="C103" s="354">
        <v>118745.67980691875</v>
      </c>
      <c r="D103" s="353">
        <v>121980.88232500074</v>
      </c>
      <c r="E103" s="350">
        <f t="shared" si="52"/>
        <v>123266.32101324902</v>
      </c>
      <c r="F103" s="352">
        <v>124551.75970149731</v>
      </c>
      <c r="G103" s="350">
        <f t="shared" si="53"/>
        <v>125552.84139797505</v>
      </c>
      <c r="H103" s="351">
        <v>126553.92309445278</v>
      </c>
      <c r="I103" s="350">
        <f t="shared" si="54"/>
        <v>127857.69303261595</v>
      </c>
      <c r="J103" s="930">
        <v>129161.46297077912</v>
      </c>
      <c r="K103" s="946">
        <f>VehicleCostData2023!AE100</f>
        <v>2695816.9798145522</v>
      </c>
      <c r="L103" s="836">
        <f>VehicleCostData2023!AF100</f>
        <v>2769263.9792806837</v>
      </c>
      <c r="M103" s="836">
        <f>VehicleCostData2023!AG100</f>
        <v>2798446.5773164597</v>
      </c>
      <c r="N103" s="836">
        <f>VehicleCostData2023!AH100</f>
        <v>2827629.1753522358</v>
      </c>
      <c r="O103" s="836">
        <f>VehicleCostData2023!AI100</f>
        <v>2850356.1751044323</v>
      </c>
      <c r="P103" s="836">
        <f>VehicleCostData2023!AJ100</f>
        <v>2873083.1748566288</v>
      </c>
      <c r="Q103" s="836">
        <f>VehicleCostData2023!AK100</f>
        <v>2902681.9370413837</v>
      </c>
      <c r="R103" s="947">
        <f>VehicleCostData2023!AL100</f>
        <v>2932280.6992261386</v>
      </c>
      <c r="S103" s="348">
        <f t="shared" si="55"/>
        <v>1.1353913846153847</v>
      </c>
      <c r="T103" s="348">
        <f t="shared" si="55"/>
        <v>1.0787410368839128</v>
      </c>
      <c r="U103" s="348">
        <f t="shared" si="55"/>
        <v>1.0701279413724054</v>
      </c>
      <c r="V103" s="348">
        <f t="shared" si="55"/>
        <v>1.061824906277419</v>
      </c>
      <c r="W103" s="348">
        <f t="shared" si="55"/>
        <v>1.0581142577793825</v>
      </c>
      <c r="X103" s="348">
        <f t="shared" si="55"/>
        <v>1.054487549531111</v>
      </c>
      <c r="Y103" s="348">
        <f t="shared" si="55"/>
        <v>1.0517704309290523</v>
      </c>
      <c r="Z103" s="348">
        <f t="shared" si="55"/>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51"/>
        <v>Bus</v>
      </c>
      <c r="B104" s="929" t="s">
        <v>700</v>
      </c>
      <c r="C104" s="354">
        <v>116405.99579555681</v>
      </c>
      <c r="D104" s="353">
        <v>119894.70049649201</v>
      </c>
      <c r="E104" s="350">
        <f t="shared" si="52"/>
        <v>121154.48362723406</v>
      </c>
      <c r="F104" s="352">
        <v>122414.26675797613</v>
      </c>
      <c r="G104" s="350">
        <f t="shared" si="53"/>
        <v>123434.96810514023</v>
      </c>
      <c r="H104" s="351">
        <v>124455.66945230431</v>
      </c>
      <c r="I104" s="350">
        <f t="shared" si="54"/>
        <v>125768.60854731036</v>
      </c>
      <c r="J104" s="930">
        <v>127081.54764231641</v>
      </c>
      <c r="K104" s="946">
        <f>VehicleCostData2023!AE101</f>
        <v>2642700.4378444701</v>
      </c>
      <c r="L104" s="836">
        <f>VehicleCostData2023!AF101</f>
        <v>2721902.5560658015</v>
      </c>
      <c r="M104" s="836">
        <f>VehicleCostData2023!AG101</f>
        <v>2750502.7102799211</v>
      </c>
      <c r="N104" s="836">
        <f>VehicleCostData2023!AH101</f>
        <v>2779102.8644940415</v>
      </c>
      <c r="O104" s="836">
        <f>VehicleCostData2023!AI101</f>
        <v>2802275.2782397773</v>
      </c>
      <c r="P104" s="836">
        <f>VehicleCostData2023!AJ101</f>
        <v>2825447.6919855122</v>
      </c>
      <c r="Q104" s="836">
        <f>VehicleCostData2023!AK101</f>
        <v>2855254.6164271832</v>
      </c>
      <c r="R104" s="947">
        <f>VehicleCostData2023!AL101</f>
        <v>2885061.5408688537</v>
      </c>
      <c r="S104" s="348">
        <f t="shared" si="55"/>
        <v>1.1130204059529007</v>
      </c>
      <c r="T104" s="348">
        <f t="shared" si="55"/>
        <v>1.0602918347965078</v>
      </c>
      <c r="U104" s="348">
        <f t="shared" si="55"/>
        <v>1.0517941728634341</v>
      </c>
      <c r="V104" s="348">
        <f t="shared" si="55"/>
        <v>1.043602415885774</v>
      </c>
      <c r="W104" s="348">
        <f t="shared" si="55"/>
        <v>1.0402655822546656</v>
      </c>
      <c r="X104" s="348">
        <f t="shared" si="55"/>
        <v>1.0370042326389706</v>
      </c>
      <c r="Y104" s="348">
        <f t="shared" si="55"/>
        <v>1.0345854087591577</v>
      </c>
      <c r="Z104" s="348">
        <f t="shared" si="55"/>
        <v>1.0322274765017712</v>
      </c>
      <c r="AB104" s="347" t="s">
        <v>700</v>
      </c>
      <c r="AC104" s="346">
        <v>16.093663963015352</v>
      </c>
      <c r="AD104" s="345">
        <v>15.170572232761142</v>
      </c>
      <c r="AE104" s="344">
        <v>13.495232748313567</v>
      </c>
      <c r="AF104" s="343">
        <v>12.90308185300915</v>
      </c>
      <c r="AG104" s="342">
        <v>12.410412295951149</v>
      </c>
    </row>
    <row r="105" spans="1:33" x14ac:dyDescent="0.25">
      <c r="B105" s="908"/>
      <c r="J105" s="891"/>
      <c r="K105" s="908"/>
      <c r="R105" s="938"/>
    </row>
    <row r="106" spans="1:33" ht="13.5" thickBot="1" x14ac:dyDescent="0.3">
      <c r="B106" s="931"/>
      <c r="C106" s="932"/>
      <c r="D106" s="932"/>
      <c r="E106" s="933"/>
      <c r="F106" s="932"/>
      <c r="G106" s="932"/>
      <c r="H106" s="932"/>
      <c r="I106" s="932"/>
      <c r="J106" s="934"/>
      <c r="K106" s="951"/>
      <c r="L106" s="952"/>
      <c r="M106" s="952"/>
      <c r="N106" s="952"/>
      <c r="O106" s="952"/>
      <c r="P106" s="952"/>
      <c r="Q106" s="952"/>
      <c r="R106" s="953"/>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I280"/>
  <sheetViews>
    <sheetView topLeftCell="L4" zoomScale="80" zoomScaleNormal="80" workbookViewId="0">
      <selection activeCell="V50" sqref="V5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9" width="12.42578125" style="61" customWidth="1"/>
    <col min="30" max="31" width="14.5703125" style="61" bestFit="1" customWidth="1"/>
    <col min="32" max="32" width="14.5703125" style="61" customWidth="1"/>
    <col min="33" max="33" width="14.5703125" style="61" bestFit="1" customWidth="1"/>
    <col min="34" max="34" width="14.5703125" style="61" customWidth="1"/>
    <col min="35" max="43" width="12.42578125" style="61" customWidth="1"/>
    <col min="44" max="45" width="12.5703125" style="242" customWidth="1"/>
    <col min="46" max="46" width="9.5703125" style="61" customWidth="1"/>
    <col min="47" max="47" width="10.42578125" style="61" bestFit="1" customWidth="1"/>
    <col min="48" max="48" width="8.85546875" style="61"/>
    <col min="49" max="49" width="10.7109375" style="61" customWidth="1"/>
    <col min="50" max="50" width="8.85546875" style="61"/>
    <col min="51" max="51" width="11.85546875" style="61" customWidth="1"/>
    <col min="52" max="52" width="8.5703125" style="61" customWidth="1"/>
    <col min="53" max="16384" width="8.85546875" style="61"/>
  </cols>
  <sheetData>
    <row r="1" spans="5:52" x14ac:dyDescent="0.25">
      <c r="U1" s="236"/>
      <c r="V1" s="236"/>
      <c r="W1" s="236"/>
      <c r="X1" s="236"/>
      <c r="Y1" s="236"/>
      <c r="Z1" s="236"/>
      <c r="AA1" s="236"/>
      <c r="AB1" s="236"/>
      <c r="AC1" s="236"/>
      <c r="AD1" s="236" t="s">
        <v>651</v>
      </c>
      <c r="AE1" s="237" t="b">
        <f>ERC.Efficiency</f>
        <v>1</v>
      </c>
      <c r="AI1" s="65" t="s">
        <v>613</v>
      </c>
      <c r="AJ1" s="238" t="s">
        <v>652</v>
      </c>
      <c r="AK1" s="239">
        <f>INDEX(AK5:AK7,MATCH(AJ1,AJ5:AJ7,0))</f>
        <v>2</v>
      </c>
      <c r="AL1" s="240">
        <f>INDEX(AL5:AL7,MATCH($AK$1,$AK$5:$AK$7,0))</f>
        <v>-5.0000000000000001E-3</v>
      </c>
      <c r="AM1" s="240">
        <f>INDEX(AM5:AM7,MATCH($AK$1,$AK$5:$AK$7,0))</f>
        <v>-5.0000000000000001E-3</v>
      </c>
      <c r="AN1" s="240">
        <f>INDEX(AN5:AN7,MATCH($AK$1,$AK$5:$AK$7,0))</f>
        <v>-7.4999999999999997E-3</v>
      </c>
      <c r="AO1" s="240">
        <f>INDEX(AO5:AO7,MATCH($AK$1,$AK$5:$AK$7,0))</f>
        <v>-0.01</v>
      </c>
      <c r="AP1" s="241">
        <f>INDEX(AP5:AP7,MATCH($AK$1,$AK$5:$AK$7,0))</f>
        <v>-0.01</v>
      </c>
    </row>
    <row r="2" spans="5:52" x14ac:dyDescent="0.25">
      <c r="AI2" s="65" t="s">
        <v>653</v>
      </c>
      <c r="AJ2" s="243" t="s">
        <v>652</v>
      </c>
      <c r="AK2" s="244">
        <f>INDEX(AK10:AK12,MATCH(AJ2,AJ10:AJ12,0))</f>
        <v>2</v>
      </c>
      <c r="AL2" s="245">
        <f>INDEX(AL10:AL12,MATCH($AK$2,$AK$10:$AK$12,0))</f>
        <v>-1E-3</v>
      </c>
      <c r="AM2" s="245">
        <f>INDEX(AM10:AM12,MATCH($AK$2,$AK$10:$AK$12,0))</f>
        <v>-1E-3</v>
      </c>
      <c r="AN2" s="245">
        <f>INDEX(AN10:AN12,MATCH($AK$2,$AK$10:$AK$12,0))</f>
        <v>-5.4999999999999997E-3</v>
      </c>
      <c r="AO2" s="245">
        <f>INDEX(AO10:AO12,MATCH($AK$2,$AK$10:$AK$12,0))</f>
        <v>-0.01</v>
      </c>
      <c r="AP2" s="246">
        <f>INDEX(AP10:AP12,MATCH($AK$2,$AK$10:$AK$12,0))</f>
        <v>-0.01</v>
      </c>
    </row>
    <row r="3" spans="5:52" x14ac:dyDescent="0.25">
      <c r="E3" s="247"/>
      <c r="AR3" s="248"/>
      <c r="AS3" s="248"/>
    </row>
    <row r="4" spans="5:52" x14ac:dyDescent="0.25">
      <c r="E4" s="247"/>
      <c r="AR4" s="61"/>
      <c r="AS4" s="61"/>
    </row>
    <row r="5" spans="5:52" x14ac:dyDescent="0.25">
      <c r="AG5" s="102"/>
      <c r="AI5" s="61" t="s">
        <v>55</v>
      </c>
      <c r="AJ5" s="61" t="s">
        <v>654</v>
      </c>
      <c r="AK5" s="249">
        <v>1</v>
      </c>
      <c r="AL5" s="250">
        <v>0</v>
      </c>
      <c r="AM5" s="250">
        <v>0</v>
      </c>
      <c r="AN5" s="250">
        <v>0</v>
      </c>
      <c r="AO5" s="250">
        <v>0</v>
      </c>
      <c r="AP5" s="250">
        <v>0</v>
      </c>
      <c r="AR5" s="248"/>
      <c r="AS5" s="248"/>
    </row>
    <row r="6" spans="5:52" x14ac:dyDescent="0.25">
      <c r="AJ6" s="61" t="s">
        <v>652</v>
      </c>
      <c r="AK6" s="251">
        <v>2</v>
      </c>
      <c r="AL6" s="250">
        <v>-5.0000000000000001E-3</v>
      </c>
      <c r="AM6" s="250">
        <v>-5.0000000000000001E-3</v>
      </c>
      <c r="AN6" s="250">
        <f>AVERAGE(AM6,AO6)</f>
        <v>-7.4999999999999997E-3</v>
      </c>
      <c r="AO6" s="250">
        <v>-0.01</v>
      </c>
      <c r="AP6" s="250">
        <v>-0.01</v>
      </c>
      <c r="AQ6" s="61" t="s">
        <v>655</v>
      </c>
      <c r="AR6" s="248"/>
      <c r="AS6" s="248"/>
    </row>
    <row r="7" spans="5:52" x14ac:dyDescent="0.25">
      <c r="AJ7" s="61" t="s">
        <v>656</v>
      </c>
      <c r="AK7" s="252">
        <v>3</v>
      </c>
      <c r="AL7" s="253">
        <f>AL6</f>
        <v>-5.0000000000000001E-3</v>
      </c>
      <c r="AM7" s="253">
        <f t="shared" ref="AM7:AP7" si="0">AM6</f>
        <v>-5.0000000000000001E-3</v>
      </c>
      <c r="AN7" s="253">
        <f t="shared" si="0"/>
        <v>-7.4999999999999997E-3</v>
      </c>
      <c r="AO7" s="253">
        <f t="shared" si="0"/>
        <v>-0.01</v>
      </c>
      <c r="AP7" s="253">
        <f t="shared" si="0"/>
        <v>-0.01</v>
      </c>
      <c r="AQ7" s="61" t="s">
        <v>657</v>
      </c>
      <c r="AR7" s="248"/>
      <c r="AS7" s="61"/>
    </row>
    <row r="8" spans="5:52" x14ac:dyDescent="0.25">
      <c r="AN8" s="61">
        <f>AN6/AM6</f>
        <v>1.5</v>
      </c>
      <c r="AR8" s="248"/>
      <c r="AS8" s="61"/>
    </row>
    <row r="9" spans="5:52" x14ac:dyDescent="0.25">
      <c r="AK9" s="210"/>
      <c r="AL9" s="210"/>
      <c r="AM9" s="210"/>
      <c r="AN9" s="210"/>
      <c r="AO9" s="210"/>
      <c r="AP9" s="210"/>
      <c r="AR9" s="248"/>
      <c r="AS9" s="248"/>
    </row>
    <row r="10" spans="5:52" x14ac:dyDescent="0.25">
      <c r="AG10" s="100"/>
      <c r="AI10" s="61" t="s">
        <v>52</v>
      </c>
      <c r="AJ10" s="61" t="s">
        <v>654</v>
      </c>
      <c r="AK10" s="249">
        <v>1</v>
      </c>
      <c r="AL10" s="250">
        <v>0</v>
      </c>
      <c r="AM10" s="250">
        <f t="shared" ref="AM10:AP10" si="1">AL10</f>
        <v>0</v>
      </c>
      <c r="AN10" s="250">
        <f t="shared" si="1"/>
        <v>0</v>
      </c>
      <c r="AO10" s="250">
        <f t="shared" si="1"/>
        <v>0</v>
      </c>
      <c r="AP10" s="250">
        <f t="shared" si="1"/>
        <v>0</v>
      </c>
      <c r="AR10" s="248"/>
      <c r="AS10" s="248"/>
    </row>
    <row r="11" spans="5:52" x14ac:dyDescent="0.25">
      <c r="AJ11" s="61" t="s">
        <v>652</v>
      </c>
      <c r="AK11" s="251">
        <v>2</v>
      </c>
      <c r="AL11" s="250">
        <f>-0.001</f>
        <v>-1E-3</v>
      </c>
      <c r="AM11" s="250">
        <f t="shared" ref="AM11" si="2">-0.001</f>
        <v>-1E-3</v>
      </c>
      <c r="AN11" s="250">
        <f>AVERAGE(AM11,AO11)</f>
        <v>-5.4999999999999997E-3</v>
      </c>
      <c r="AO11" s="250">
        <v>-0.01</v>
      </c>
      <c r="AP11" s="250">
        <v>-0.01</v>
      </c>
      <c r="AQ11" s="61" t="s">
        <v>655</v>
      </c>
      <c r="AR11" s="248"/>
      <c r="AS11" s="248"/>
    </row>
    <row r="12" spans="5:52" x14ac:dyDescent="0.25">
      <c r="AJ12" s="61" t="s">
        <v>656</v>
      </c>
      <c r="AK12" s="252">
        <v>3</v>
      </c>
      <c r="AL12" s="253">
        <f>AL11</f>
        <v>-1E-3</v>
      </c>
      <c r="AM12" s="253">
        <f t="shared" ref="AM12:AP12" si="3">AM11</f>
        <v>-1E-3</v>
      </c>
      <c r="AN12" s="253">
        <f t="shared" si="3"/>
        <v>-5.4999999999999997E-3</v>
      </c>
      <c r="AO12" s="253">
        <f t="shared" si="3"/>
        <v>-0.01</v>
      </c>
      <c r="AP12" s="253">
        <f t="shared" si="3"/>
        <v>-0.01</v>
      </c>
      <c r="AQ12" s="61" t="s">
        <v>657</v>
      </c>
      <c r="AR12" s="248"/>
    </row>
    <row r="13" spans="5:52" x14ac:dyDescent="0.25">
      <c r="AR13" s="248"/>
    </row>
    <row r="15" spans="5:52" x14ac:dyDescent="0.25">
      <c r="AD15" s="65" t="s">
        <v>658</v>
      </c>
      <c r="AE15" s="65"/>
      <c r="AF15" s="65"/>
      <c r="AG15" s="61">
        <f>'AEA2012 update'!L3</f>
        <v>0</v>
      </c>
      <c r="AL15" s="65" t="s">
        <v>659</v>
      </c>
      <c r="AN15" s="65"/>
      <c r="AT15" s="65" t="s">
        <v>660</v>
      </c>
      <c r="AZ15" s="254" t="s">
        <v>661</v>
      </c>
    </row>
    <row r="16" spans="5:52" x14ac:dyDescent="0.25">
      <c r="S16" s="65"/>
      <c r="AB16" s="65" t="s">
        <v>662</v>
      </c>
      <c r="AD16" s="255">
        <v>2010</v>
      </c>
      <c r="AE16" s="255">
        <v>2020</v>
      </c>
      <c r="AF16" s="256">
        <v>2025</v>
      </c>
      <c r="AG16" s="256">
        <v>2030</v>
      </c>
      <c r="AH16" s="256">
        <v>2035</v>
      </c>
      <c r="AI16" s="256">
        <v>2040</v>
      </c>
      <c r="AJ16" s="257">
        <v>2050</v>
      </c>
      <c r="AL16" s="258">
        <v>2017</v>
      </c>
      <c r="AM16" s="258">
        <v>2020</v>
      </c>
      <c r="AN16" s="259">
        <v>2030</v>
      </c>
      <c r="AO16" s="259">
        <v>2040</v>
      </c>
      <c r="AP16" s="260">
        <v>2050</v>
      </c>
      <c r="AT16" s="258">
        <v>2010</v>
      </c>
      <c r="AU16" s="258">
        <v>2020</v>
      </c>
      <c r="AV16" s="259">
        <v>2030</v>
      </c>
      <c r="AW16" s="259">
        <v>2040</v>
      </c>
      <c r="AX16" s="260">
        <v>2050</v>
      </c>
    </row>
    <row r="17" spans="5:56" x14ac:dyDescent="0.25">
      <c r="R17" s="65"/>
      <c r="W17" s="65"/>
      <c r="X17" s="65"/>
      <c r="Y17" s="65"/>
      <c r="Z17" s="65"/>
      <c r="AA17" s="65"/>
      <c r="AB17" s="65"/>
      <c r="AC17" s="65"/>
      <c r="AD17" s="261">
        <v>0</v>
      </c>
      <c r="AE17" s="262">
        <v>0</v>
      </c>
      <c r="AF17" s="262">
        <v>0</v>
      </c>
      <c r="AG17" s="262">
        <v>0</v>
      </c>
      <c r="AH17" s="262">
        <v>0</v>
      </c>
      <c r="AI17" s="262">
        <v>0</v>
      </c>
      <c r="AJ17" s="262">
        <v>0</v>
      </c>
      <c r="AL17" s="263"/>
      <c r="AM17" s="263"/>
      <c r="AN17" s="263"/>
      <c r="AO17" s="263"/>
      <c r="AP17" s="263"/>
    </row>
    <row r="18" spans="5:56" x14ac:dyDescent="0.25">
      <c r="N18"/>
      <c r="O18"/>
      <c r="R18" s="264"/>
      <c r="S18" s="65"/>
      <c r="W18" s="61" t="s">
        <v>1363</v>
      </c>
      <c r="AD18" s="265">
        <f>IFERROR(TRA.freight.capex*(AD17+S18),0)</f>
        <v>0</v>
      </c>
      <c r="AE18" s="266">
        <f t="shared" ref="AE18:AJ18" si="4">IFERROR(TRA.freight.capex*(AE17+AD18),0)</f>
        <v>0</v>
      </c>
      <c r="AF18" s="266">
        <f t="shared" si="4"/>
        <v>0</v>
      </c>
      <c r="AG18" s="266">
        <f t="shared" si="4"/>
        <v>0</v>
      </c>
      <c r="AH18" s="266">
        <f t="shared" si="4"/>
        <v>0</v>
      </c>
      <c r="AI18" s="266">
        <f t="shared" si="4"/>
        <v>0</v>
      </c>
      <c r="AJ18" s="266">
        <f t="shared" si="4"/>
        <v>0</v>
      </c>
      <c r="AL18" s="61" t="s">
        <v>663</v>
      </c>
      <c r="AM18" s="61" t="s">
        <v>663</v>
      </c>
      <c r="AN18" s="61" t="s">
        <v>663</v>
      </c>
      <c r="AO18" s="61" t="s">
        <v>663</v>
      </c>
      <c r="AP18" s="61" t="s">
        <v>663</v>
      </c>
      <c r="AR18" s="242" t="s">
        <v>664</v>
      </c>
      <c r="AZ18" s="61" t="s">
        <v>665</v>
      </c>
      <c r="BC18" s="61" t="s">
        <v>666</v>
      </c>
    </row>
    <row r="19" spans="5:56" ht="45" x14ac:dyDescent="0.25">
      <c r="E19" s="61" t="s">
        <v>667</v>
      </c>
      <c r="J19" s="267">
        <v>2017</v>
      </c>
      <c r="N19" s="65" t="s">
        <v>668</v>
      </c>
      <c r="O19" s="65" t="s">
        <v>669</v>
      </c>
      <c r="P19" s="65" t="s">
        <v>670</v>
      </c>
      <c r="Q19" s="65" t="s">
        <v>671</v>
      </c>
      <c r="R19" s="65" t="s">
        <v>672</v>
      </c>
      <c r="S19" s="65" t="s">
        <v>673</v>
      </c>
      <c r="T19" s="65" t="s">
        <v>674</v>
      </c>
      <c r="U19" s="65" t="s">
        <v>675</v>
      </c>
      <c r="V19" s="964" t="s">
        <v>662</v>
      </c>
      <c r="W19" s="255">
        <v>2010</v>
      </c>
      <c r="X19" s="255">
        <v>2020</v>
      </c>
      <c r="Y19" s="256">
        <v>2025</v>
      </c>
      <c r="Z19" s="256">
        <v>2030</v>
      </c>
      <c r="AA19" s="256">
        <v>2035</v>
      </c>
      <c r="AB19" s="256">
        <v>2040</v>
      </c>
      <c r="AC19" s="257">
        <v>2050</v>
      </c>
      <c r="AD19" s="268"/>
      <c r="AE19" s="268"/>
      <c r="AF19" s="268"/>
      <c r="AG19" s="268"/>
      <c r="AH19" s="268"/>
      <c r="AI19" s="268"/>
      <c r="AJ19" s="268"/>
      <c r="AR19" s="242" t="s">
        <v>676</v>
      </c>
      <c r="AS19" s="242" t="s">
        <v>677</v>
      </c>
      <c r="AZ19" s="61">
        <f>AL16</f>
        <v>2017</v>
      </c>
      <c r="BA19" s="61">
        <f t="shared" ref="BA19:BD19" si="5">AM16</f>
        <v>2020</v>
      </c>
      <c r="BB19" s="61">
        <f t="shared" si="5"/>
        <v>2030</v>
      </c>
      <c r="BC19" s="61">
        <f t="shared" si="5"/>
        <v>2040</v>
      </c>
      <c r="BD19" s="61">
        <f t="shared" si="5"/>
        <v>2050</v>
      </c>
    </row>
    <row r="20" spans="5:56"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AE20*F22</f>
        <v>384581.26616029348</v>
      </c>
      <c r="T20" s="273" t="s">
        <v>681</v>
      </c>
      <c r="U20" s="957" t="s">
        <v>680</v>
      </c>
      <c r="V20" s="965"/>
      <c r="W20" s="958">
        <f>IF($V20="",0,IF(W$19&gt;=$V20,1,0))</f>
        <v>0</v>
      </c>
      <c r="X20" s="959">
        <f t="shared" ref="X20:AC35" si="6">IF($V20="",0,IF(X$19&gt;=$V20,1,0))</f>
        <v>0</v>
      </c>
      <c r="Y20" s="959">
        <f t="shared" si="6"/>
        <v>0</v>
      </c>
      <c r="Z20" s="959">
        <f t="shared" si="6"/>
        <v>0</v>
      </c>
      <c r="AA20" s="959">
        <f t="shared" si="6"/>
        <v>0</v>
      </c>
      <c r="AB20" s="959">
        <f t="shared" si="6"/>
        <v>0</v>
      </c>
      <c r="AC20" s="960">
        <f t="shared" si="6"/>
        <v>0</v>
      </c>
      <c r="AD20" s="103" cm="1">
        <f t="array" ref="AD20">IF(W20,INDEX('AEA2012 update'!$K$6:$R$104,MATCH($T20&amp;$R20,'AEA2012 update'!$A$6:$A$104&amp;'AEA2012 update'!$B$6:$B$104,0),MATCH(AD$16,'AEA2012 update'!$S$4:$Z$4,0)),INDEX('AEA2012 update'!$K$6:$R$104,MATCH($T20&amp;$U20,'AEA2012 update'!$A$6:$A$104&amp;'AEA2012 update'!$B$6:$B$104,0),MATCH(AD$16,'AEA2012 update'!$S$4:$Z$4,0)))</f>
        <v>221973.27212134015</v>
      </c>
      <c r="AE20" s="103" cm="1">
        <f t="array" ref="AE20">IF(X20,INDEX('AEA2012 update'!$K$6:$R$104,MATCH($T20&amp;$R20,'AEA2012 update'!$A$6:$A$104&amp;'AEA2012 update'!$B$6:$B$104,0),MATCH(AE$16,'AEA2012 update'!$S$4:$Z$4,0)),INDEX('AEA2012 update'!$K$6:$R$104,MATCH($T20&amp;$U20,'AEA2012 update'!$A$6:$A$104&amp;'AEA2012 update'!$B$6:$B$104,0),MATCH(AE$16,'AEA2012 update'!$S$4:$Z$4,0)))</f>
        <v>240363.2913501834</v>
      </c>
      <c r="AF20" s="103" cm="1">
        <f t="array" ref="AF20">IF(Y20,INDEX('AEA2012 update'!$K$6:$R$104,MATCH($T20&amp;$R20,'AEA2012 update'!$A$6:$A$104&amp;'AEA2012 update'!$B$6:$B$104,0),MATCH(AF$16,'AEA2012 update'!$S$4:$Z$4,0)),INDEX('AEA2012 update'!$K$6:$R$104,MATCH($T20&amp;$U20,'AEA2012 update'!$A$6:$A$104&amp;'AEA2012 update'!$B$6:$B$104,0),MATCH(AF$16,'AEA2012 update'!$S$4:$Z$4,0)))</f>
        <v>244456.53288726759</v>
      </c>
      <c r="AG20" s="103" cm="1">
        <f t="array" ref="AG20">IF(Z20,INDEX('AEA2012 update'!$K$6:$R$104,MATCH($T20&amp;$R20,'AEA2012 update'!$A$6:$A$104&amp;'AEA2012 update'!$B$6:$B$104,0),MATCH(AG$16,'AEA2012 update'!$S$4:$Z$4,0)),INDEX('AEA2012 update'!$K$6:$R$104,MATCH($T20&amp;$U20,'AEA2012 update'!$A$6:$A$104&amp;'AEA2012 update'!$B$6:$B$104,0),MATCH(AG$16,'AEA2012 update'!$S$4:$Z$4,0)))</f>
        <v>248549.77442435178</v>
      </c>
      <c r="AH20" s="103" cm="1">
        <f t="array" ref="AH20">IF(AA20,INDEX('AEA2012 update'!$K$6:$R$104,MATCH($T20&amp;$R20,'AEA2012 update'!$A$6:$A$104&amp;'AEA2012 update'!$B$6:$B$104,0),MATCH(AH$16,'AEA2012 update'!$S$4:$Z$4,0)),INDEX('AEA2012 update'!$K$6:$R$104,MATCH($T20&amp;$U20,'AEA2012 update'!$A$6:$A$104&amp;'AEA2012 update'!$B$6:$B$104,0),MATCH(AH$16,'AEA2012 update'!$S$4:$Z$4,0)))</f>
        <v>251273.34974387253</v>
      </c>
      <c r="AI20" s="103" cm="1">
        <f t="array" ref="AI20">IF(AB20,INDEX('AEA2012 update'!$K$6:$R$104,MATCH($T20&amp;$R20,'AEA2012 update'!$A$6:$A$104&amp;'AEA2012 update'!$B$6:$B$104,0),MATCH(AI$16,'AEA2012 update'!$S$4:$Z$4,0)),INDEX('AEA2012 update'!$K$6:$R$104,MATCH($T20&amp;$U20,'AEA2012 update'!$A$6:$A$104&amp;'AEA2012 update'!$B$6:$B$104,0),MATCH(AI$16,'AEA2012 update'!$S$4:$Z$4,0)))</f>
        <v>253996.92506339328</v>
      </c>
      <c r="AJ20" s="103" cm="1">
        <f t="array" ref="AJ20">IF(AC20,INDEX('AEA2012 update'!$K$6:$R$104,MATCH($T20&amp;$R20,'AEA2012 update'!$A$6:$A$104&amp;'AEA2012 update'!$B$6:$B$104,0),MATCH(AJ$16,'AEA2012 update'!$S$4:$Z$4,0)),INDEX('AEA2012 update'!$K$6:$R$104,MATCH($T20&amp;$U20,'AEA2012 update'!$A$6:$A$104&amp;'AEA2012 update'!$B$6:$B$104,0),MATCH(AJ$16,'AEA2012 update'!$S$4:$Z$4,0)))</f>
        <v>257172.600668175</v>
      </c>
      <c r="AK20" s="103" t="s">
        <v>682</v>
      </c>
      <c r="AL20" s="67">
        <f>1/INDEX(Analytica!$AA$17:$AE$48,MATCH($AK20,Analytica!$A$17:$A$48,0),MATCH(AL$16,Analytica!$AA$16:$AE$16,0))</f>
        <v>2.802205701073782</v>
      </c>
      <c r="AM20" s="67">
        <f t="array" ref="AM20">IF($AE$1,AL20*(1+INDEX(AM$1:AM$2,MATCH($O20,$AI$1:$AI$2,0)))^(AM$16-AL$16),INDEX('AEA2012 update'!$AC$6:$AG$104,MATCH($T20&amp;$U20,'AEA2012 update'!$A$6:$A$104&amp;'AEA2012 update'!$B$6:$B$104,0),MATCH(AM$16,'AEA2012 update'!$AC$4:$AG$4,0)))</f>
        <v>2.760382430709543</v>
      </c>
      <c r="AN20" s="67">
        <f t="array" ref="AN20">IF($AE$1,AM20*(1+INDEX(AN$1:AN$2,MATCH($O20,$AI$1:$AI$2,0)))^(AN$16-AM$16),INDEX('AEA2012 update'!$AC$6:$AG$104,MATCH($T20&amp;$U20,'AEA2012 update'!$A$6:$A$104&amp;'AEA2012 update'!$B$6:$B$104,0),MATCH(AN$16,'AEA2012 update'!$AC$4:$AG$4,0)))</f>
        <v>2.5602030398136666</v>
      </c>
      <c r="AO20" s="67">
        <f t="array" ref="AO20">IF($AE$1,AN20*(1+INDEX(AO$1:AO$2,MATCH($O20,$AI$1:$AI$2,0)))^(AO$16-AN$16),INDEX('AEA2012 update'!$AC$6:$AG$104,MATCH($T20&amp;$U20,'AEA2012 update'!$A$6:$A$104&amp;'AEA2012 update'!$B$6:$B$104,0),MATCH(AO$16,'AEA2012 update'!$AC$4:$AG$4,0)))</f>
        <v>2.3154017375905322</v>
      </c>
      <c r="AP20" s="67">
        <f t="array" ref="AP20">IF($AE$1,AO20*(1+INDEX(AP$1:AP$2,MATCH($O20,$AI$1:$AI$2,0)))^(AP$16-AO$16),INDEX('AEA2012 update'!$AC$6:$AG$104,MATCH($T20&amp;$U20,'AEA2012 update'!$A$6:$A$104&amp;'AEA2012 update'!$B$6:$B$104,0),MATCH(AP$16,'AEA2012 update'!$AC$4:$AG$4,0)))</f>
        <v>2.0940078279211165</v>
      </c>
      <c r="AR20" s="274">
        <f>-((AL20-AM20)/($AM$16-$AL$16))/AL20</f>
        <v>-4.9750416666666797E-3</v>
      </c>
      <c r="AS20" s="274">
        <f>-((AM20-AP20)/($AP$16-$AM$16))/AM20</f>
        <v>-8.0468874575124021E-3</v>
      </c>
      <c r="AV20" s="61">
        <f>AP20/AM20</f>
        <v>0.75859337627462797</v>
      </c>
      <c r="AY20" s="61" t="str">
        <f>P20&amp;"-"&amp;N20</f>
        <v>CAR-OGS</v>
      </c>
      <c r="AZ20" s="80" t="e" cm="1">
        <f t="array" aca="1" ref="AZ20" ca="1">AL20/INDIRECT("cv."&amp;LEFT($U20,6)&amp;".hhv.MJL") * 100</f>
        <v>#REF!</v>
      </c>
      <c r="BA20" s="80" t="e" cm="1">
        <f t="array" aca="1" ref="BA20" ca="1">AM20/INDIRECT("cv."&amp;LEFT($U20,6)&amp;".hhv.MJL") * 100</f>
        <v>#REF!</v>
      </c>
      <c r="BB20" s="80" t="e" cm="1">
        <f t="array" aca="1" ref="BB20" ca="1">AN20/INDIRECT("cv."&amp;LEFT($U20,6)&amp;".hhv.MJL") * 100</f>
        <v>#REF!</v>
      </c>
      <c r="BC20" s="80" t="e" cm="1">
        <f t="array" aca="1" ref="BC20" ca="1">AO20/INDIRECT("cv."&amp;LEFT($U20,6)&amp;".hhv.MJL") * 100</f>
        <v>#REF!</v>
      </c>
      <c r="BD20" s="80" t="e" cm="1">
        <f t="array" aca="1" ref="BD20" ca="1">AP20/INDIRECT("cv."&amp;LEFT($U20,6)&amp;".hhv.MJL") * 100</f>
        <v>#REF!</v>
      </c>
    </row>
    <row r="21" spans="5:56" x14ac:dyDescent="0.25">
      <c r="E21" s="61" t="s">
        <v>683</v>
      </c>
      <c r="F21" s="61" t="s">
        <v>684</v>
      </c>
      <c r="I21" s="269" t="s">
        <v>685</v>
      </c>
      <c r="N21" s="61" t="s">
        <v>506</v>
      </c>
      <c r="O21" s="61" t="s">
        <v>613</v>
      </c>
      <c r="P21" s="61" t="s">
        <v>555</v>
      </c>
      <c r="Q21" s="61" t="str">
        <f t="shared" ref="Q21:Q89" si="7">RIGHT(P21,3)</f>
        <v>CAR</v>
      </c>
      <c r="R21" s="61" t="s">
        <v>680</v>
      </c>
      <c r="T21" s="273" t="s">
        <v>681</v>
      </c>
      <c r="U21" s="957" t="s">
        <v>680</v>
      </c>
      <c r="V21" s="965"/>
      <c r="W21" s="958">
        <f t="shared" ref="W21:AC36" si="8">IF($V21="",0,IF(W$19&gt;=$V21,1,0))</f>
        <v>0</v>
      </c>
      <c r="X21" s="959">
        <f t="shared" si="6"/>
        <v>0</v>
      </c>
      <c r="Y21" s="959">
        <f t="shared" si="6"/>
        <v>0</v>
      </c>
      <c r="Z21" s="959">
        <f t="shared" si="6"/>
        <v>0</v>
      </c>
      <c r="AA21" s="959">
        <f t="shared" si="6"/>
        <v>0</v>
      </c>
      <c r="AB21" s="959">
        <f t="shared" si="6"/>
        <v>0</v>
      </c>
      <c r="AC21" s="960">
        <f t="shared" si="6"/>
        <v>0</v>
      </c>
      <c r="AD21" s="103" cm="1">
        <f t="array" ref="AD21">IF(W21,INDEX('AEA2012 update'!$K$6:$R$104,MATCH($T21&amp;$R21,'AEA2012 update'!$A$6:$A$104&amp;'AEA2012 update'!$B$6:$B$104,0),MATCH(AD$16,'AEA2012 update'!$S$4:$Z$4,0)),INDEX('AEA2012 update'!$K$6:$R$104,MATCH($T21&amp;$U21,'AEA2012 update'!$A$6:$A$104&amp;'AEA2012 update'!$B$6:$B$104,0),MATCH(AD$16,'AEA2012 update'!$S$4:$Z$4,0)))</f>
        <v>221973.27212134015</v>
      </c>
      <c r="AE21" s="103" cm="1">
        <f t="array" ref="AE21">IF(X21,INDEX('AEA2012 update'!$K$6:$R$104,MATCH($T21&amp;$R21,'AEA2012 update'!$A$6:$A$104&amp;'AEA2012 update'!$B$6:$B$104,0),MATCH(AE$16,'AEA2012 update'!$S$4:$Z$4,0)),INDEX('AEA2012 update'!$K$6:$R$104,MATCH($T21&amp;$U21,'AEA2012 update'!$A$6:$A$104&amp;'AEA2012 update'!$B$6:$B$104,0),MATCH(AE$16,'AEA2012 update'!$S$4:$Z$4,0)))</f>
        <v>240363.2913501834</v>
      </c>
      <c r="AF21" s="103" cm="1">
        <f t="array" ref="AF21">IF(Y21,INDEX('AEA2012 update'!$K$6:$R$104,MATCH($T21&amp;$R21,'AEA2012 update'!$A$6:$A$104&amp;'AEA2012 update'!$B$6:$B$104,0),MATCH(AF$16,'AEA2012 update'!$S$4:$Z$4,0)),INDEX('AEA2012 update'!$K$6:$R$104,MATCH($T21&amp;$U21,'AEA2012 update'!$A$6:$A$104&amp;'AEA2012 update'!$B$6:$B$104,0),MATCH(AF$16,'AEA2012 update'!$S$4:$Z$4,0)))</f>
        <v>244456.53288726759</v>
      </c>
      <c r="AG21" s="103" cm="1">
        <f t="array" ref="AG21">IF(Z21,INDEX('AEA2012 update'!$K$6:$R$104,MATCH($T21&amp;$R21,'AEA2012 update'!$A$6:$A$104&amp;'AEA2012 update'!$B$6:$B$104,0),MATCH(AG$16,'AEA2012 update'!$S$4:$Z$4,0)),INDEX('AEA2012 update'!$K$6:$R$104,MATCH($T21&amp;$U21,'AEA2012 update'!$A$6:$A$104&amp;'AEA2012 update'!$B$6:$B$104,0),MATCH(AG$16,'AEA2012 update'!$S$4:$Z$4,0)))</f>
        <v>248549.77442435178</v>
      </c>
      <c r="AH21" s="103" cm="1">
        <f t="array" ref="AH21">IF(AA21,INDEX('AEA2012 update'!$K$6:$R$104,MATCH($T21&amp;$R21,'AEA2012 update'!$A$6:$A$104&amp;'AEA2012 update'!$B$6:$B$104,0),MATCH(AH$16,'AEA2012 update'!$S$4:$Z$4,0)),INDEX('AEA2012 update'!$K$6:$R$104,MATCH($T21&amp;$U21,'AEA2012 update'!$A$6:$A$104&amp;'AEA2012 update'!$B$6:$B$104,0),MATCH(AH$16,'AEA2012 update'!$S$4:$Z$4,0)))</f>
        <v>251273.34974387253</v>
      </c>
      <c r="AI21" s="103" cm="1">
        <f t="array" ref="AI21">IF(AB21,INDEX('AEA2012 update'!$K$6:$R$104,MATCH($T21&amp;$R21,'AEA2012 update'!$A$6:$A$104&amp;'AEA2012 update'!$B$6:$B$104,0),MATCH(AI$16,'AEA2012 update'!$S$4:$Z$4,0)),INDEX('AEA2012 update'!$K$6:$R$104,MATCH($T21&amp;$U21,'AEA2012 update'!$A$6:$A$104&amp;'AEA2012 update'!$B$6:$B$104,0),MATCH(AI$16,'AEA2012 update'!$S$4:$Z$4,0)))</f>
        <v>253996.92506339328</v>
      </c>
      <c r="AJ21" s="103" cm="1">
        <f t="array" ref="AJ21">IF(AC21,INDEX('AEA2012 update'!$K$6:$R$104,MATCH($T21&amp;$R21,'AEA2012 update'!$A$6:$A$104&amp;'AEA2012 update'!$B$6:$B$104,0),MATCH(AJ$16,'AEA2012 update'!$S$4:$Z$4,0)),INDEX('AEA2012 update'!$K$6:$R$104,MATCH($T21&amp;$U21,'AEA2012 update'!$A$6:$A$104&amp;'AEA2012 update'!$B$6:$B$104,0),MATCH(AJ$16,'AEA2012 update'!$S$4:$Z$4,0)))</f>
        <v>257172.600668175</v>
      </c>
      <c r="AK21" s="103" t="str">
        <f t="shared" ref="AK21:AK26" si="9">Q21&amp;N21</f>
        <v>CARBGS</v>
      </c>
      <c r="AL21" s="67">
        <f>INDEX('Vehicle data '!$AD$20:$AD$110,MATCH($AK21,'Vehicle data '!$AC$20:$AC$110,0))/INDEX('Vehicle data '!$AD$20:$AD$110,MATCH($AK$20,'Vehicle data '!$AC$20:$AC$110,0))*AL$20</f>
        <v>2.802205701073782</v>
      </c>
      <c r="AM21" s="67">
        <f t="array" ref="AM21">IF($AE$1,AL21*(1+INDEX(AM$1:AM$2,MATCH($O21,$AI$1:$AI$2,0)))^(AM$16-AL$16),INDEX('AEA2012 update'!$AC$6:$AG$104,MATCH($T21&amp;$U21,'AEA2012 update'!$A$6:$A$104&amp;'AEA2012 update'!$B$6:$B$104,0),MATCH(AM$16,'AEA2012 update'!$AC$4:$AG$4,0)))</f>
        <v>2.760382430709543</v>
      </c>
      <c r="AN21" s="67">
        <f t="array" ref="AN21">IF($AE$1,AM21*(1+INDEX(AN$1:AN$2,MATCH($O21,$AI$1:$AI$2,0)))^(AN$16-AM$16),INDEX('AEA2012 update'!$AC$6:$AG$104,MATCH($T21&amp;$U21,'AEA2012 update'!$A$6:$A$104&amp;'AEA2012 update'!$B$6:$B$104,0),MATCH(AN$16,'AEA2012 update'!$AC$4:$AG$4,0)))</f>
        <v>2.5602030398136666</v>
      </c>
      <c r="AO21" s="67">
        <f t="array" ref="AO21">IF($AE$1,AN21*(1+INDEX(AO$1:AO$2,MATCH($O21,$AI$1:$AI$2,0)))^(AO$16-AN$16),INDEX('AEA2012 update'!$AC$6:$AG$104,MATCH($T21&amp;$U21,'AEA2012 update'!$A$6:$A$104&amp;'AEA2012 update'!$B$6:$B$104,0),MATCH(AO$16,'AEA2012 update'!$AC$4:$AG$4,0)))</f>
        <v>2.3154017375905322</v>
      </c>
      <c r="AP21" s="67">
        <f t="array" ref="AP21">IF($AE$1,AO21*(1+INDEX(AP$1:AP$2,MATCH($O21,$AI$1:$AI$2,0)))^(AP$16-AO$16),INDEX('AEA2012 update'!$AC$6:$AG$104,MATCH($T21&amp;$U21,'AEA2012 update'!$A$6:$A$104&amp;'AEA2012 update'!$B$6:$B$104,0),MATCH(AP$16,'AEA2012 update'!$AC$4:$AG$4,0)))</f>
        <v>2.0940078279211165</v>
      </c>
      <c r="AR21" s="274">
        <f t="shared" ref="AR21:AR89" si="10">-((AL21-AM21)/($AM$16-$AL$16))/AL21</f>
        <v>-4.9750416666666797E-3</v>
      </c>
      <c r="AS21" s="274">
        <f t="shared" ref="AS21:AS89" si="11">-((AM21-AP21)/($AP$16-$AM$16))/AM21</f>
        <v>-8.0468874575124021E-3</v>
      </c>
      <c r="AY21" s="61" t="str">
        <f t="shared" ref="AY21:AY84" si="12">P21&amp;"-"&amp;N21</f>
        <v>CAR-BGS</v>
      </c>
      <c r="AZ21" s="80" t="e" cm="1">
        <f t="array" aca="1" ref="AZ21" ca="1">AL21/INDIRECT("cv."&amp;LEFT($U21,6)&amp;".hhv.MJL") * 100</f>
        <v>#REF!</v>
      </c>
      <c r="BA21" s="80" t="e" cm="1">
        <f t="array" aca="1" ref="BA21" ca="1">AM21/INDIRECT("cv."&amp;LEFT($U21,6)&amp;".hhv.MJL") * 100</f>
        <v>#REF!</v>
      </c>
      <c r="BB21" s="80" t="e" cm="1">
        <f t="array" aca="1" ref="BB21" ca="1">AN21/INDIRECT("cv."&amp;LEFT($U21,6)&amp;".hhv.MJL") * 100</f>
        <v>#REF!</v>
      </c>
      <c r="BC21" s="80" t="e" cm="1">
        <f t="array" aca="1" ref="BC21" ca="1">AO21/INDIRECT("cv."&amp;LEFT($U21,6)&amp;".hhv.MJL") * 100</f>
        <v>#REF!</v>
      </c>
      <c r="BD21" s="80" t="e" cm="1">
        <f t="array" aca="1" ref="BD21" ca="1">AP21/INDIRECT("cv."&amp;LEFT($U21,6)&amp;".hhv.MJL") * 100</f>
        <v>#REF!</v>
      </c>
    </row>
    <row r="22" spans="5:56" x14ac:dyDescent="0.25">
      <c r="E22" s="61" t="s">
        <v>686</v>
      </c>
      <c r="F22" s="61">
        <v>1.6</v>
      </c>
      <c r="N22" s="61" t="s">
        <v>511</v>
      </c>
      <c r="O22" s="61" t="s">
        <v>613</v>
      </c>
      <c r="P22" s="61" t="s">
        <v>555</v>
      </c>
      <c r="Q22" s="61" t="str">
        <f t="shared" si="7"/>
        <v>CAR</v>
      </c>
      <c r="R22" s="61" t="s">
        <v>680</v>
      </c>
      <c r="T22" s="273" t="s">
        <v>681</v>
      </c>
      <c r="U22" s="957" t="s">
        <v>687</v>
      </c>
      <c r="V22" s="965">
        <v>2030</v>
      </c>
      <c r="W22" s="958">
        <f t="shared" si="8"/>
        <v>0</v>
      </c>
      <c r="X22" s="959">
        <f t="shared" si="6"/>
        <v>0</v>
      </c>
      <c r="Y22" s="959">
        <f t="shared" si="6"/>
        <v>0</v>
      </c>
      <c r="Z22" s="959">
        <f t="shared" si="6"/>
        <v>1</v>
      </c>
      <c r="AA22" s="959">
        <f t="shared" si="6"/>
        <v>1</v>
      </c>
      <c r="AB22" s="959">
        <f t="shared" si="6"/>
        <v>1</v>
      </c>
      <c r="AC22" s="960">
        <f t="shared" si="6"/>
        <v>1</v>
      </c>
      <c r="AD22" s="103" cm="1">
        <f t="array" ref="AD22">IF(W22,INDEX('AEA2012 update'!$K$6:$R$104,MATCH($T22&amp;$R22,'AEA2012 update'!$A$6:$A$104&amp;'AEA2012 update'!$B$6:$B$104,0),MATCH(AD$16,'AEA2012 update'!$S$4:$Z$4,0)),INDEX('AEA2012 update'!$K$6:$R$104,MATCH($T22&amp;$U22,'AEA2012 update'!$A$6:$A$104&amp;'AEA2012 update'!$B$6:$B$104,0),MATCH(AD$16,'AEA2012 update'!$S$4:$Z$4,0)))</f>
        <v>328443.28314829268</v>
      </c>
      <c r="AE22" s="103" cm="1">
        <f t="array" ref="AE22">IF(X22,INDEX('AEA2012 update'!$K$6:$R$104,MATCH($T22&amp;$R22,'AEA2012 update'!$A$6:$A$104&amp;'AEA2012 update'!$B$6:$B$104,0),MATCH(AE$16,'AEA2012 update'!$S$4:$Z$4,0)),INDEX('AEA2012 update'!$K$6:$R$104,MATCH($T22&amp;$U22,'AEA2012 update'!$A$6:$A$104&amp;'AEA2012 update'!$B$6:$B$104,0),MATCH(AE$16,'AEA2012 update'!$S$4:$Z$4,0)))</f>
        <v>360544.93702527508</v>
      </c>
      <c r="AF22" s="103" cm="1">
        <f t="array" ref="AF22">IF(Y22,INDEX('AEA2012 update'!$K$6:$R$104,MATCH($T22&amp;$R22,'AEA2012 update'!$A$6:$A$104&amp;'AEA2012 update'!$B$6:$B$104,0),MATCH(AF$16,'AEA2012 update'!$S$4:$Z$4,0)),INDEX('AEA2012 update'!$K$6:$R$104,MATCH($T22&amp;$U22,'AEA2012 update'!$A$6:$A$104&amp;'AEA2012 update'!$B$6:$B$104,0),MATCH(AF$16,'AEA2012 update'!$S$4:$Z$4,0)))</f>
        <v>366150.82503153011</v>
      </c>
      <c r="AG22" s="103" cm="1">
        <f t="array" ref="AG22">IF(Z22,INDEX('AEA2012 update'!$K$6:$R$104,MATCH($T22&amp;$R22,'AEA2012 update'!$A$6:$A$104&amp;'AEA2012 update'!$B$6:$B$104,0),MATCH(AG$16,'AEA2012 update'!$S$4:$Z$4,0)),INDEX('AEA2012 update'!$K$6:$R$104,MATCH($T22&amp;$U22,'AEA2012 update'!$A$6:$A$104&amp;'AEA2012 update'!$B$6:$B$104,0),MATCH(AG$16,'AEA2012 update'!$S$4:$Z$4,0)))</f>
        <v>248549.77442435178</v>
      </c>
      <c r="AH22" s="103" cm="1">
        <f t="array" ref="AH22">IF(AA22,INDEX('AEA2012 update'!$K$6:$R$104,MATCH($T22&amp;$R22,'AEA2012 update'!$A$6:$A$104&amp;'AEA2012 update'!$B$6:$B$104,0),MATCH(AH$16,'AEA2012 update'!$S$4:$Z$4,0)),INDEX('AEA2012 update'!$K$6:$R$104,MATCH($T22&amp;$U22,'AEA2012 update'!$A$6:$A$104&amp;'AEA2012 update'!$B$6:$B$104,0),MATCH(AH$16,'AEA2012 update'!$S$4:$Z$4,0)))</f>
        <v>251273.34974387253</v>
      </c>
      <c r="AI22" s="103" cm="1">
        <f t="array" ref="AI22">IF(AB22,INDEX('AEA2012 update'!$K$6:$R$104,MATCH($T22&amp;$R22,'AEA2012 update'!$A$6:$A$104&amp;'AEA2012 update'!$B$6:$B$104,0),MATCH(AI$16,'AEA2012 update'!$S$4:$Z$4,0)),INDEX('AEA2012 update'!$K$6:$R$104,MATCH($T22&amp;$U22,'AEA2012 update'!$A$6:$A$104&amp;'AEA2012 update'!$B$6:$B$104,0),MATCH(AI$16,'AEA2012 update'!$S$4:$Z$4,0)))</f>
        <v>253996.92506339328</v>
      </c>
      <c r="AJ22" s="103" cm="1">
        <f t="array" ref="AJ22">IF(AC22,INDEX('AEA2012 update'!$K$6:$R$104,MATCH($T22&amp;$R22,'AEA2012 update'!$A$6:$A$104&amp;'AEA2012 update'!$B$6:$B$104,0),MATCH(AJ$16,'AEA2012 update'!$S$4:$Z$4,0)),INDEX('AEA2012 update'!$K$6:$R$104,MATCH($T22&amp;$U22,'AEA2012 update'!$A$6:$A$104&amp;'AEA2012 update'!$B$6:$B$104,0),MATCH(AJ$16,'AEA2012 update'!$S$4:$Z$4,0)))</f>
        <v>257172.600668175</v>
      </c>
      <c r="AK22" s="103" t="str">
        <f t="shared" si="9"/>
        <v>CARODS</v>
      </c>
      <c r="AL22" s="67">
        <f>1/INDEX(Analytica!$AA$17:$AE$48,MATCH($AK22,Analytica!$A$17:$A$48,0),MATCH(AL$16,Analytica!$AA$16:$AE$16,0))</f>
        <v>3.0120320555337368</v>
      </c>
      <c r="AM22" s="67">
        <f t="array" ref="AM22">IF($AE$1,AL22*(1+INDEX(AM$1:AM$2,MATCH($O22,$AI$1:$AI$2,0)))^(AM$16-AL$16),INDEX('AEA2012 update'!$AC$6:$AG$104,MATCH($T22&amp;$U22,'AEA2012 update'!$A$6:$A$104&amp;'AEA2012 update'!$B$6:$B$104,0),MATCH(AM$16,'AEA2012 update'!$AC$4:$AG$4,0)))</f>
        <v>2.9670771006008887</v>
      </c>
      <c r="AN22" s="67">
        <f t="array" ref="AN22">IF($AE$1,AM22*(1+INDEX(AN$1:AN$2,MATCH($O22,$AI$1:$AI$2,0)))^(AN$16-AM$16),INDEX('AEA2012 update'!$AC$6:$AG$104,MATCH($T22&amp;$U22,'AEA2012 update'!$A$6:$A$104&amp;'AEA2012 update'!$B$6:$B$104,0),MATCH(AN$16,'AEA2012 update'!$AC$4:$AG$4,0)))</f>
        <v>2.7519084775392222</v>
      </c>
      <c r="AO22" s="67">
        <f t="array" ref="AO22">IF($AE$1,AN22*(1+INDEX(AO$1:AO$2,MATCH($O22,$AI$1:$AI$2,0)))^(AO$16-AN$16),INDEX('AEA2012 update'!$AC$6:$AG$104,MATCH($T22&amp;$U22,'AEA2012 update'!$A$6:$A$104&amp;'AEA2012 update'!$B$6:$B$104,0),MATCH(AO$16,'AEA2012 update'!$AC$4:$AG$4,0)))</f>
        <v>2.4887766991512414</v>
      </c>
      <c r="AP22" s="67">
        <f t="array" ref="AP22">IF($AE$1,AO22*(1+INDEX(AP$1:AP$2,MATCH($O22,$AI$1:$AI$2,0)))^(AP$16-AO$16),INDEX('AEA2012 update'!$AC$6:$AG$104,MATCH($T22&amp;$U22,'AEA2012 update'!$A$6:$A$104&amp;'AEA2012 update'!$B$6:$B$104,0),MATCH(AP$16,'AEA2012 update'!$AC$4:$AG$4,0)))</f>
        <v>2.2508050354119624</v>
      </c>
      <c r="AR22" s="274">
        <f t="shared" si="10"/>
        <v>-4.975041666666678E-3</v>
      </c>
      <c r="AS22" s="274">
        <f t="shared" si="11"/>
        <v>-8.0468874575123986E-3</v>
      </c>
      <c r="AY22" s="61" t="str">
        <f t="shared" si="12"/>
        <v>CAR-ODS</v>
      </c>
      <c r="AZ22" s="80" t="e" cm="1">
        <f t="array" aca="1" ref="AZ22" ca="1">AL22/INDIRECT("cv."&amp;LEFT($U22,6)&amp;".hhv.MJL") * 100</f>
        <v>#REF!</v>
      </c>
      <c r="BA22" s="80" t="e" cm="1">
        <f t="array" aca="1" ref="BA22" ca="1">AM22/INDIRECT("cv."&amp;LEFT($U22,6)&amp;".hhv.MJL") * 100</f>
        <v>#REF!</v>
      </c>
      <c r="BB22" s="80" t="e" cm="1">
        <f t="array" aca="1" ref="BB22" ca="1">AN22/INDIRECT("cv."&amp;LEFT($U22,6)&amp;".hhv.MJL") * 100</f>
        <v>#REF!</v>
      </c>
      <c r="BC22" s="80" t="e" cm="1">
        <f t="array" aca="1" ref="BC22" ca="1">AO22/INDIRECT("cv."&amp;LEFT($U22,6)&amp;".hhv.MJL") * 100</f>
        <v>#REF!</v>
      </c>
      <c r="BD22" s="80" t="e" cm="1">
        <f t="array" aca="1" ref="BD22" ca="1">AP22/INDIRECT("cv."&amp;LEFT($U22,6)&amp;".hhv.MJL") * 100</f>
        <v>#REF!</v>
      </c>
    </row>
    <row r="23" spans="5:56" x14ac:dyDescent="0.25">
      <c r="N23" s="61" t="s">
        <v>519</v>
      </c>
      <c r="O23" s="61" t="s">
        <v>613</v>
      </c>
      <c r="P23" s="61" t="s">
        <v>555</v>
      </c>
      <c r="Q23" s="61" t="str">
        <f t="shared" si="7"/>
        <v>CAR</v>
      </c>
      <c r="R23" s="61" t="s">
        <v>680</v>
      </c>
      <c r="S23" s="65"/>
      <c r="T23" s="273" t="s">
        <v>681</v>
      </c>
      <c r="U23" s="957" t="s">
        <v>688</v>
      </c>
      <c r="V23" s="965">
        <v>2035</v>
      </c>
      <c r="W23" s="958">
        <f t="shared" si="8"/>
        <v>0</v>
      </c>
      <c r="X23" s="959">
        <f t="shared" si="6"/>
        <v>0</v>
      </c>
      <c r="Y23" s="959">
        <f t="shared" si="6"/>
        <v>0</v>
      </c>
      <c r="Z23" s="959">
        <f t="shared" si="6"/>
        <v>0</v>
      </c>
      <c r="AA23" s="959">
        <f t="shared" si="6"/>
        <v>1</v>
      </c>
      <c r="AB23" s="959">
        <f t="shared" si="6"/>
        <v>1</v>
      </c>
      <c r="AC23" s="960">
        <f t="shared" si="6"/>
        <v>1</v>
      </c>
      <c r="AD23" s="103" cm="1">
        <f t="array" ref="AD23">IF(W23,INDEX('AEA2012 update'!$K$6:$R$104,MATCH($T23&amp;$R23,'AEA2012 update'!$A$6:$A$104&amp;'AEA2012 update'!$B$6:$B$104,0),MATCH(AD$16,'AEA2012 update'!$S$4:$Z$4,0)),INDEX('AEA2012 update'!$K$6:$R$104,MATCH($T23&amp;$U23,'AEA2012 update'!$A$6:$A$104&amp;'AEA2012 update'!$B$6:$B$104,0),MATCH(AD$16,'AEA2012 update'!$S$4:$Z$4,0)))</f>
        <v>463914.82511277962</v>
      </c>
      <c r="AE23" s="103" cm="1">
        <f t="array" ref="AE23">IF(X23,INDEX('AEA2012 update'!$K$6:$R$104,MATCH($T23&amp;$R23,'AEA2012 update'!$A$6:$A$104&amp;'AEA2012 update'!$B$6:$B$104,0),MATCH(AE$16,'AEA2012 update'!$S$4:$Z$4,0)),INDEX('AEA2012 update'!$K$6:$R$104,MATCH($T23&amp;$U23,'AEA2012 update'!$A$6:$A$104&amp;'AEA2012 update'!$B$6:$B$104,0),MATCH(AE$16,'AEA2012 update'!$S$4:$Z$4,0)))</f>
        <v>440435.38283569075</v>
      </c>
      <c r="AF23" s="103" cm="1">
        <f t="array" ref="AF23">IF(Y23,INDEX('AEA2012 update'!$K$6:$R$104,MATCH($T23&amp;$R23,'AEA2012 update'!$A$6:$A$104&amp;'AEA2012 update'!$B$6:$B$104,0),MATCH(AF$16,'AEA2012 update'!$S$4:$Z$4,0)),INDEX('AEA2012 update'!$K$6:$R$104,MATCH($T23&amp;$U23,'AEA2012 update'!$A$6:$A$104&amp;'AEA2012 update'!$B$6:$B$104,0),MATCH(AF$16,'AEA2012 update'!$S$4:$Z$4,0)))</f>
        <v>436635.14806228853</v>
      </c>
      <c r="AG23" s="103" cm="1">
        <f t="array" ref="AG23">IF(Z23,INDEX('AEA2012 update'!$K$6:$R$104,MATCH($T23&amp;$R23,'AEA2012 update'!$A$6:$A$104&amp;'AEA2012 update'!$B$6:$B$104,0),MATCH(AG$16,'AEA2012 update'!$S$4:$Z$4,0)),INDEX('AEA2012 update'!$K$6:$R$104,MATCH($T23&amp;$U23,'AEA2012 update'!$A$6:$A$104&amp;'AEA2012 update'!$B$6:$B$104,0),MATCH(AG$16,'AEA2012 update'!$S$4:$Z$4,0)))</f>
        <v>432834.91328888631</v>
      </c>
      <c r="AH23" s="103" cm="1">
        <f t="array" ref="AH23">IF(AA23,INDEX('AEA2012 update'!$K$6:$R$104,MATCH($T23&amp;$R23,'AEA2012 update'!$A$6:$A$104&amp;'AEA2012 update'!$B$6:$B$104,0),MATCH(AH$16,'AEA2012 update'!$S$4:$Z$4,0)),INDEX('AEA2012 update'!$K$6:$R$104,MATCH($T23&amp;$U23,'AEA2012 update'!$A$6:$A$104&amp;'AEA2012 update'!$B$6:$B$104,0),MATCH(AH$16,'AEA2012 update'!$S$4:$Z$4,0)))</f>
        <v>251273.34974387253</v>
      </c>
      <c r="AI23" s="103" cm="1">
        <f t="array" ref="AI23">IF(AB23,INDEX('AEA2012 update'!$K$6:$R$104,MATCH($T23&amp;$R23,'AEA2012 update'!$A$6:$A$104&amp;'AEA2012 update'!$B$6:$B$104,0),MATCH(AI$16,'AEA2012 update'!$S$4:$Z$4,0)),INDEX('AEA2012 update'!$K$6:$R$104,MATCH($T23&amp;$U23,'AEA2012 update'!$A$6:$A$104&amp;'AEA2012 update'!$B$6:$B$104,0),MATCH(AI$16,'AEA2012 update'!$S$4:$Z$4,0)))</f>
        <v>253996.92506339328</v>
      </c>
      <c r="AJ23" s="103" cm="1">
        <f t="array" ref="AJ23">IF(AC23,INDEX('AEA2012 update'!$K$6:$R$104,MATCH($T23&amp;$R23,'AEA2012 update'!$A$6:$A$104&amp;'AEA2012 update'!$B$6:$B$104,0),MATCH(AJ$16,'AEA2012 update'!$S$4:$Z$4,0)),INDEX('AEA2012 update'!$K$6:$R$104,MATCH($T23&amp;$U23,'AEA2012 update'!$A$6:$A$104&amp;'AEA2012 update'!$B$6:$B$104,0),MATCH(AJ$16,'AEA2012 update'!$S$4:$Z$4,0)))</f>
        <v>257172.600668175</v>
      </c>
      <c r="AK23" s="103" t="str">
        <f t="shared" si="9"/>
        <v>CAROGSH</v>
      </c>
      <c r="AL23" s="67">
        <f>INDEX('Vehicle data '!$AD$20:$AD$110,MATCH($AK23,'Vehicle data '!$AC$20:$AC$110,0))/INDEX('Vehicle data '!$AD$20:$AD$110,MATCH($AK$20,'Vehicle data '!$AC$20:$AC$110,0))*AL$20</f>
        <v>2.1411522976326958</v>
      </c>
      <c r="AM23" s="67">
        <f t="array" ref="AM23">IF($AE$1,AL23*(1+INDEX(AM$1:AM$2,MATCH($O23,$AI$1:$AI$2,0)))^(AM$16-AL$16),INDEX('AEA2012 update'!$AC$6:$AG$104,MATCH($T23&amp;$U23,'AEA2012 update'!$A$6:$A$104&amp;'AEA2012 update'!$B$6:$B$104,0),MATCH(AM$16,'AEA2012 update'!$AC$4:$AG$4,0)))</f>
        <v>2.1091953319464904</v>
      </c>
      <c r="AN23" s="67">
        <f t="array" ref="AN23">IF($AE$1,AM23*(1+INDEX(AN$1:AN$2,MATCH($O23,$AI$1:$AI$2,0)))^(AN$16-AM$16),INDEX('AEA2012 update'!$AC$6:$AG$104,MATCH($T23&amp;$U23,'AEA2012 update'!$A$6:$A$104&amp;'AEA2012 update'!$B$6:$B$104,0),MATCH(AN$16,'AEA2012 update'!$AC$4:$AG$4,0)))</f>
        <v>1.9562391936475862</v>
      </c>
      <c r="AO23" s="67">
        <f t="array" ref="AO23">IF($AE$1,AN23*(1+INDEX(AO$1:AO$2,MATCH($O23,$AI$1:$AI$2,0)))^(AO$16-AN$16),INDEX('AEA2012 update'!$AC$6:$AG$104,MATCH($T23&amp;$U23,'AEA2012 update'!$A$6:$A$104&amp;'AEA2012 update'!$B$6:$B$104,0),MATCH(AO$16,'AEA2012 update'!$AC$4:$AG$4,0)))</f>
        <v>1.7691876611645543</v>
      </c>
      <c r="AP23" s="67">
        <f t="array" ref="AP23">IF($AE$1,AO23*(1+INDEX(AP$1:AP$2,MATCH($O23,$AI$1:$AI$2,0)))^(AP$16-AO$16),INDEX('AEA2012 update'!$AC$6:$AG$104,MATCH($T23&amp;$U23,'AEA2012 update'!$A$6:$A$104&amp;'AEA2012 update'!$B$6:$B$104,0),MATCH(AP$16,'AEA2012 update'!$AC$4:$AG$4,0)))</f>
        <v>1.6000216080839729</v>
      </c>
      <c r="AR23" s="274">
        <f t="shared" si="10"/>
        <v>-4.9750416666666866E-3</v>
      </c>
      <c r="AS23" s="274">
        <f t="shared" si="11"/>
        <v>-8.0468874575124003E-3</v>
      </c>
      <c r="AY23" s="61" t="str">
        <f t="shared" si="12"/>
        <v>CAR-OGSH</v>
      </c>
      <c r="AZ23" s="80" t="e" cm="1">
        <f t="array" aca="1" ref="AZ23" ca="1">AL23/INDIRECT("cv."&amp;LEFT($U23,6)&amp;".hhv.MJL") * 100</f>
        <v>#REF!</v>
      </c>
      <c r="BA23" s="80" t="e" cm="1">
        <f t="array" aca="1" ref="BA23" ca="1">AM23/INDIRECT("cv."&amp;LEFT($U23,6)&amp;".hhv.MJL") * 100</f>
        <v>#REF!</v>
      </c>
      <c r="BB23" s="80" t="e" cm="1">
        <f t="array" aca="1" ref="BB23" ca="1">AN23/INDIRECT("cv."&amp;LEFT($U23,6)&amp;".hhv.MJL") * 100</f>
        <v>#REF!</v>
      </c>
      <c r="BC23" s="80" t="e" cm="1">
        <f t="array" aca="1" ref="BC23" ca="1">AO23/INDIRECT("cv."&amp;LEFT($U23,6)&amp;".hhv.MJL") * 100</f>
        <v>#REF!</v>
      </c>
      <c r="BD23" s="80" t="e" cm="1">
        <f t="array" aca="1" ref="BD23" ca="1">AP23/INDIRECT("cv."&amp;LEFT($U23,6)&amp;".hhv.MJL") * 100</f>
        <v>#REF!</v>
      </c>
    </row>
    <row r="24" spans="5:56" x14ac:dyDescent="0.25">
      <c r="N24" s="61" t="s">
        <v>521</v>
      </c>
      <c r="O24" s="61" t="s">
        <v>613</v>
      </c>
      <c r="P24" s="61" t="s">
        <v>555</v>
      </c>
      <c r="Q24" s="61" t="str">
        <f t="shared" si="7"/>
        <v>CAR</v>
      </c>
      <c r="R24" s="61" t="s">
        <v>680</v>
      </c>
      <c r="S24" s="65"/>
      <c r="T24" s="273" t="s">
        <v>681</v>
      </c>
      <c r="U24" s="957" t="s">
        <v>689</v>
      </c>
      <c r="V24" s="965">
        <v>2035</v>
      </c>
      <c r="W24" s="958">
        <f t="shared" si="8"/>
        <v>0</v>
      </c>
      <c r="X24" s="959">
        <f t="shared" si="6"/>
        <v>0</v>
      </c>
      <c r="Y24" s="959">
        <f t="shared" si="6"/>
        <v>0</v>
      </c>
      <c r="Z24" s="959">
        <f t="shared" si="6"/>
        <v>0</v>
      </c>
      <c r="AA24" s="959">
        <f t="shared" si="6"/>
        <v>1</v>
      </c>
      <c r="AB24" s="959">
        <f t="shared" si="6"/>
        <v>1</v>
      </c>
      <c r="AC24" s="960">
        <f t="shared" si="6"/>
        <v>1</v>
      </c>
      <c r="AD24" s="103" cm="1">
        <f t="array" ref="AD24">IF(W24,INDEX('AEA2012 update'!$K$6:$R$104,MATCH($T24&amp;$R24,'AEA2012 update'!$A$6:$A$104&amp;'AEA2012 update'!$B$6:$B$104,0),MATCH(AD$16,'AEA2012 update'!$S$4:$Z$4,0)),INDEX('AEA2012 update'!$K$6:$R$104,MATCH($T24&amp;$U24,'AEA2012 update'!$A$6:$A$104&amp;'AEA2012 update'!$B$6:$B$104,0),MATCH(AD$16,'AEA2012 update'!$S$4:$Z$4,0)))</f>
        <v>676856.89554145606</v>
      </c>
      <c r="AE24" s="103" cm="1">
        <f t="array" ref="AE24">IF(X24,INDEX('AEA2012 update'!$K$6:$R$104,MATCH($T24&amp;$R24,'AEA2012 update'!$A$6:$A$104&amp;'AEA2012 update'!$B$6:$B$104,0),MATCH(AE$16,'AEA2012 update'!$S$4:$Z$4,0)),INDEX('AEA2012 update'!$K$6:$R$104,MATCH($T24&amp;$U24,'AEA2012 update'!$A$6:$A$104&amp;'AEA2012 update'!$B$6:$B$104,0),MATCH(AE$16,'AEA2012 update'!$S$4:$Z$4,0)))</f>
        <v>660653.07425353606</v>
      </c>
      <c r="AF24" s="103" cm="1">
        <f t="array" ref="AF24">IF(Y24,INDEX('AEA2012 update'!$K$6:$R$104,MATCH($T24&amp;$R24,'AEA2012 update'!$A$6:$A$104&amp;'AEA2012 update'!$B$6:$B$104,0),MATCH(AF$16,'AEA2012 update'!$S$4:$Z$4,0)),INDEX('AEA2012 update'!$K$6:$R$104,MATCH($T24&amp;$U24,'AEA2012 update'!$A$6:$A$104&amp;'AEA2012 update'!$B$6:$B$104,0),MATCH(AF$16,'AEA2012 update'!$S$4:$Z$4,0)))</f>
        <v>655423.85807417962</v>
      </c>
      <c r="AG24" s="103" cm="1">
        <f t="array" ref="AG24">IF(Z24,INDEX('AEA2012 update'!$K$6:$R$104,MATCH($T24&amp;$R24,'AEA2012 update'!$A$6:$A$104&amp;'AEA2012 update'!$B$6:$B$104,0),MATCH(AG$16,'AEA2012 update'!$S$4:$Z$4,0)),INDEX('AEA2012 update'!$K$6:$R$104,MATCH($T24&amp;$U24,'AEA2012 update'!$A$6:$A$104&amp;'AEA2012 update'!$B$6:$B$104,0),MATCH(AG$16,'AEA2012 update'!$S$4:$Z$4,0)))</f>
        <v>650194.64189482306</v>
      </c>
      <c r="AH24" s="103" cm="1">
        <f t="array" ref="AH24">IF(AA24,INDEX('AEA2012 update'!$K$6:$R$104,MATCH($T24&amp;$R24,'AEA2012 update'!$A$6:$A$104&amp;'AEA2012 update'!$B$6:$B$104,0),MATCH(AH$16,'AEA2012 update'!$S$4:$Z$4,0)),INDEX('AEA2012 update'!$K$6:$R$104,MATCH($T24&amp;$U24,'AEA2012 update'!$A$6:$A$104&amp;'AEA2012 update'!$B$6:$B$104,0),MATCH(AH$16,'AEA2012 update'!$S$4:$Z$4,0)))</f>
        <v>251273.34974387253</v>
      </c>
      <c r="AI24" s="103" cm="1">
        <f t="array" ref="AI24">IF(AB24,INDEX('AEA2012 update'!$K$6:$R$104,MATCH($T24&amp;$R24,'AEA2012 update'!$A$6:$A$104&amp;'AEA2012 update'!$B$6:$B$104,0),MATCH(AI$16,'AEA2012 update'!$S$4:$Z$4,0)),INDEX('AEA2012 update'!$K$6:$R$104,MATCH($T24&amp;$U24,'AEA2012 update'!$A$6:$A$104&amp;'AEA2012 update'!$B$6:$B$104,0),MATCH(AI$16,'AEA2012 update'!$S$4:$Z$4,0)))</f>
        <v>253996.92506339328</v>
      </c>
      <c r="AJ24" s="103" cm="1">
        <f t="array" ref="AJ24">IF(AC24,INDEX('AEA2012 update'!$K$6:$R$104,MATCH($T24&amp;$R24,'AEA2012 update'!$A$6:$A$104&amp;'AEA2012 update'!$B$6:$B$104,0),MATCH(AJ$16,'AEA2012 update'!$S$4:$Z$4,0)),INDEX('AEA2012 update'!$K$6:$R$104,MATCH($T24&amp;$U24,'AEA2012 update'!$A$6:$A$104&amp;'AEA2012 update'!$B$6:$B$104,0),MATCH(AJ$16,'AEA2012 update'!$S$4:$Z$4,0)))</f>
        <v>257172.600668175</v>
      </c>
      <c r="AK24" s="103" t="str">
        <f t="shared" si="9"/>
        <v>CARODSH</v>
      </c>
      <c r="AL24" s="67">
        <f>INDEX('Vehicle data '!$AD$20:$AD$110,MATCH($AK24,'Vehicle data '!$AC$20:$AC$110,0))/INDEX('Vehicle data '!$AD$20:$AD$110,MATCH($AK$20,'Vehicle data '!$AC$20:$AC$110,0))*AL$20</f>
        <v>1.7878340005916549</v>
      </c>
      <c r="AM24" s="67">
        <f t="array" ref="AM24">IF($AE$1,AL24*(1+INDEX(AM$1:AM$2,MATCH($O24,$AI$1:$AI$2,0)))^(AM$16-AL$16),INDEX('AEA2012 update'!$AC$6:$AG$104,MATCH($T24&amp;$U24,'AEA2012 update'!$A$6:$A$104&amp;'AEA2012 update'!$B$6:$B$104,0),MATCH(AM$16,'AEA2012 update'!$AC$4:$AG$4,0)))</f>
        <v>1.7611503546535743</v>
      </c>
      <c r="AN24" s="67">
        <f t="array" ref="AN24">IF($AE$1,AM24*(1+INDEX(AN$1:AN$2,MATCH($O24,$AI$1:$AI$2,0)))^(AN$16-AM$16),INDEX('AEA2012 update'!$AC$6:$AG$104,MATCH($T24&amp;$U24,'AEA2012 update'!$A$6:$A$104&amp;'AEA2012 update'!$B$6:$B$104,0),MATCH(AN$16,'AEA2012 update'!$AC$4:$AG$4,0)))</f>
        <v>1.633433991388652</v>
      </c>
      <c r="AO24" s="67">
        <f t="array" ref="AO24">IF($AE$1,AN24*(1+INDEX(AO$1:AO$2,MATCH($O24,$AI$1:$AI$2,0)))^(AO$16-AN$16),INDEX('AEA2012 update'!$AC$6:$AG$104,MATCH($T24&amp;$U24,'AEA2012 update'!$A$6:$A$104&amp;'AEA2012 update'!$B$6:$B$104,0),MATCH(AO$16,'AEA2012 update'!$AC$4:$AG$4,0)))</f>
        <v>1.4772484225219824</v>
      </c>
      <c r="AP24" s="67">
        <f t="array" ref="AP24">IF($AE$1,AO24*(1+INDEX(AP$1:AP$2,MATCH($O24,$AI$1:$AI$2,0)))^(AP$16-AO$16),INDEX('AEA2012 update'!$AC$6:$AG$104,MATCH($T24&amp;$U24,'AEA2012 update'!$A$6:$A$104&amp;'AEA2012 update'!$B$6:$B$104,0),MATCH(AP$16,'AEA2012 update'!$AC$4:$AG$4,0)))</f>
        <v>1.3359969936639133</v>
      </c>
      <c r="AR24" s="274">
        <f t="shared" si="10"/>
        <v>-4.9750416666666797E-3</v>
      </c>
      <c r="AS24" s="274">
        <f t="shared" si="11"/>
        <v>-8.0468874575124021E-3</v>
      </c>
      <c r="AY24" s="61" t="str">
        <f t="shared" si="12"/>
        <v>CAR-ODSH</v>
      </c>
      <c r="AZ24" s="80" t="e" cm="1">
        <f t="array" aca="1" ref="AZ24" ca="1">AL24/INDIRECT("cv."&amp;LEFT($U24,6)&amp;".hhv.MJL") * 100</f>
        <v>#REF!</v>
      </c>
      <c r="BA24" s="80" t="e" cm="1">
        <f t="array" aca="1" ref="BA24" ca="1">AM24/INDIRECT("cv."&amp;LEFT($U24,6)&amp;".hhv.MJL") * 100</f>
        <v>#REF!</v>
      </c>
      <c r="BB24" s="80" t="e" cm="1">
        <f t="array" aca="1" ref="BB24" ca="1">AN24/INDIRECT("cv."&amp;LEFT($U24,6)&amp;".hhv.MJL") * 100</f>
        <v>#REF!</v>
      </c>
      <c r="BC24" s="80" t="e" cm="1">
        <f t="array" aca="1" ref="BC24" ca="1">AO24/INDIRECT("cv."&amp;LEFT($U24,6)&amp;".hhv.MJL") * 100</f>
        <v>#REF!</v>
      </c>
      <c r="BD24" s="80" t="e" cm="1">
        <f t="array" aca="1" ref="BD24" ca="1">AP24/INDIRECT("cv."&amp;LEFT($U24,6)&amp;".hhv.MJL") * 100</f>
        <v>#REF!</v>
      </c>
    </row>
    <row r="25" spans="5:56" x14ac:dyDescent="0.25">
      <c r="H25" s="61">
        <v>2018</v>
      </c>
      <c r="I25" s="61">
        <v>2020</v>
      </c>
      <c r="N25" s="61" t="s">
        <v>690</v>
      </c>
      <c r="O25" s="61" t="s">
        <v>613</v>
      </c>
      <c r="P25" s="61" t="s">
        <v>555</v>
      </c>
      <c r="Q25" s="61" t="str">
        <f t="shared" si="7"/>
        <v>CAR</v>
      </c>
      <c r="R25" s="61" t="s">
        <v>680</v>
      </c>
      <c r="S25" s="65"/>
      <c r="T25" s="273" t="s">
        <v>681</v>
      </c>
      <c r="U25" s="957" t="s">
        <v>691</v>
      </c>
      <c r="V25" s="965">
        <v>2035</v>
      </c>
      <c r="W25" s="958">
        <f t="shared" si="8"/>
        <v>0</v>
      </c>
      <c r="X25" s="959">
        <f t="shared" si="6"/>
        <v>0</v>
      </c>
      <c r="Y25" s="959">
        <f t="shared" si="6"/>
        <v>0</v>
      </c>
      <c r="Z25" s="959">
        <f t="shared" si="6"/>
        <v>0</v>
      </c>
      <c r="AA25" s="959">
        <f t="shared" si="6"/>
        <v>1</v>
      </c>
      <c r="AB25" s="959">
        <f t="shared" si="6"/>
        <v>1</v>
      </c>
      <c r="AC25" s="960">
        <f t="shared" si="6"/>
        <v>1</v>
      </c>
      <c r="AD25" s="103" cm="1">
        <f t="array" ref="AD25">IF(W25,INDEX('AEA2012 update'!$K$6:$R$104,MATCH($T25&amp;$R25,'AEA2012 update'!$A$6:$A$104&amp;'AEA2012 update'!$B$6:$B$104,0),MATCH(AD$16,'AEA2012 update'!$S$4:$Z$4,0)),INDEX('AEA2012 update'!$K$6:$R$104,MATCH($T25&amp;$U25,'AEA2012 update'!$A$6:$A$104&amp;'AEA2012 update'!$B$6:$B$104,0),MATCH(AD$16,'AEA2012 update'!$S$4:$Z$4,0)))</f>
        <v>721264.32330352848</v>
      </c>
      <c r="AE25" s="103" cm="1">
        <f t="array" ref="AE25">IF(X25,INDEX('AEA2012 update'!$K$6:$R$104,MATCH($T25&amp;$R25,'AEA2012 update'!$A$6:$A$104&amp;'AEA2012 update'!$B$6:$B$104,0),MATCH(AE$16,'AEA2012 update'!$S$4:$Z$4,0)),INDEX('AEA2012 update'!$K$6:$R$104,MATCH($T25&amp;$U25,'AEA2012 update'!$A$6:$A$104&amp;'AEA2012 update'!$B$6:$B$104,0),MATCH(AE$16,'AEA2012 update'!$S$4:$Z$4,0)))</f>
        <v>585779.0591714686</v>
      </c>
      <c r="AF25" s="103" cm="1">
        <f t="array" ref="AF25">IF(Y25,INDEX('AEA2012 update'!$K$6:$R$104,MATCH($T25&amp;$R25,'AEA2012 update'!$A$6:$A$104&amp;'AEA2012 update'!$B$6:$B$104,0),MATCH(AF$16,'AEA2012 update'!$S$4:$Z$4,0)),INDEX('AEA2012 update'!$K$6:$R$104,MATCH($T25&amp;$U25,'AEA2012 update'!$A$6:$A$104&amp;'AEA2012 update'!$B$6:$B$104,0),MATCH(AF$16,'AEA2012 update'!$S$4:$Z$4,0)))</f>
        <v>567630.06516271632</v>
      </c>
      <c r="AG25" s="103" cm="1">
        <f t="array" ref="AG25">IF(Z25,INDEX('AEA2012 update'!$K$6:$R$104,MATCH($T25&amp;$R25,'AEA2012 update'!$A$6:$A$104&amp;'AEA2012 update'!$B$6:$B$104,0),MATCH(AG$16,'AEA2012 update'!$S$4:$Z$4,0)),INDEX('AEA2012 update'!$K$6:$R$104,MATCH($T25&amp;$U25,'AEA2012 update'!$A$6:$A$104&amp;'AEA2012 update'!$B$6:$B$104,0),MATCH(AG$16,'AEA2012 update'!$S$4:$Z$4,0)))</f>
        <v>549481.07115396392</v>
      </c>
      <c r="AH25" s="103" cm="1">
        <f t="array" ref="AH25">IF(AA25,INDEX('AEA2012 update'!$K$6:$R$104,MATCH($T25&amp;$R25,'AEA2012 update'!$A$6:$A$104&amp;'AEA2012 update'!$B$6:$B$104,0),MATCH(AH$16,'AEA2012 update'!$S$4:$Z$4,0)),INDEX('AEA2012 update'!$K$6:$R$104,MATCH($T25&amp;$U25,'AEA2012 update'!$A$6:$A$104&amp;'AEA2012 update'!$B$6:$B$104,0),MATCH(AH$16,'AEA2012 update'!$S$4:$Z$4,0)))</f>
        <v>251273.34974387253</v>
      </c>
      <c r="AI25" s="103" cm="1">
        <f t="array" ref="AI25">IF(AB25,INDEX('AEA2012 update'!$K$6:$R$104,MATCH($T25&amp;$R25,'AEA2012 update'!$A$6:$A$104&amp;'AEA2012 update'!$B$6:$B$104,0),MATCH(AI$16,'AEA2012 update'!$S$4:$Z$4,0)),INDEX('AEA2012 update'!$K$6:$R$104,MATCH($T25&amp;$U25,'AEA2012 update'!$A$6:$A$104&amp;'AEA2012 update'!$B$6:$B$104,0),MATCH(AI$16,'AEA2012 update'!$S$4:$Z$4,0)))</f>
        <v>253996.92506339328</v>
      </c>
      <c r="AJ25" s="103" cm="1">
        <f t="array" ref="AJ25">IF(AC25,INDEX('AEA2012 update'!$K$6:$R$104,MATCH($T25&amp;$R25,'AEA2012 update'!$A$6:$A$104&amp;'AEA2012 update'!$B$6:$B$104,0),MATCH(AJ$16,'AEA2012 update'!$S$4:$Z$4,0)),INDEX('AEA2012 update'!$K$6:$R$104,MATCH($T25&amp;$U25,'AEA2012 update'!$A$6:$A$104&amp;'AEA2012 update'!$B$6:$B$104,0),MATCH(AJ$16,'AEA2012 update'!$S$4:$Z$4,0)))</f>
        <v>257172.600668175</v>
      </c>
      <c r="AK25" s="103" t="str">
        <f t="shared" si="9"/>
        <v>CAROGSP</v>
      </c>
      <c r="AL25" s="67">
        <f>INDEX('Vehicle data '!$AD$20:$AD$110,MATCH($AK25,'Vehicle data '!$AC$20:$AC$110,0))/INDEX('Vehicle data '!$AD$20:$AD$110,MATCH($AK$20,'Vehicle data '!$AC$20:$AC$110,0))*AL$20</f>
        <v>1.7020779475368724</v>
      </c>
      <c r="AM25" s="67">
        <f t="array" ref="AM25">IF($AE$1,AL25*(1+INDEX(AM$1:AM$2,MATCH($O25,$AI$1:$AI$2,0)))^(AM$16-AL$16),INDEX('AEA2012 update'!$AC$6:$AG$104,MATCH($T25&amp;$U25,'AEA2012 update'!$A$6:$A$104&amp;'AEA2012 update'!$B$6:$B$104,0),MATCH(AM$16,'AEA2012 update'!$AC$4:$AG$4,0)))</f>
        <v>1.6766742214101411</v>
      </c>
      <c r="AN25" s="67">
        <f t="array" ref="AN25">IF($AE$1,AM25*(1+INDEX(AN$1:AN$2,MATCH($O25,$AI$1:$AI$2,0)))^(AN$16-AM$16),INDEX('AEA2012 update'!$AC$6:$AG$104,MATCH($T25&amp;$U25,'AEA2012 update'!$A$6:$A$104&amp;'AEA2012 update'!$B$6:$B$104,0),MATCH(AN$16,'AEA2012 update'!$AC$4:$AG$4,0)))</f>
        <v>1.5550839589020486</v>
      </c>
      <c r="AO25" s="67">
        <f t="array" ref="AO25">IF($AE$1,AN25*(1+INDEX(AO$1:AO$2,MATCH($O25,$AI$1:$AI$2,0)))^(AO$16-AN$16),INDEX('AEA2012 update'!$AC$6:$AG$104,MATCH($T25&amp;$U25,'AEA2012 update'!$A$6:$A$104&amp;'AEA2012 update'!$B$6:$B$104,0),MATCH(AO$16,'AEA2012 update'!$AC$4:$AG$4,0)))</f>
        <v>1.406390057564741</v>
      </c>
      <c r="AP25" s="67">
        <f t="array" ref="AP25">IF($AE$1,AO25*(1+INDEX(AP$1:AP$2,MATCH($O25,$AI$1:$AI$2,0)))^(AP$16-AO$16),INDEX('AEA2012 update'!$AC$6:$AG$104,MATCH($T25&amp;$U25,'AEA2012 update'!$A$6:$A$104&amp;'AEA2012 update'!$B$6:$B$104,0),MATCH(AP$16,'AEA2012 update'!$AC$4:$AG$4,0)))</f>
        <v>1.2719139585321522</v>
      </c>
      <c r="AR25" s="274">
        <f t="shared" si="10"/>
        <v>-4.9750416666666649E-3</v>
      </c>
      <c r="AS25" s="274">
        <f t="shared" si="11"/>
        <v>-8.0468874575123986E-3</v>
      </c>
      <c r="AY25" s="61" t="str">
        <f t="shared" si="12"/>
        <v>CAR-OGSP</v>
      </c>
      <c r="AZ25" s="80" t="e" cm="1">
        <f t="array" aca="1" ref="AZ25" ca="1">AL25/INDIRECT("cv."&amp;LEFT($U25,6)&amp;".hhv.MJL") * 100</f>
        <v>#REF!</v>
      </c>
      <c r="BA25" s="80" t="e" cm="1">
        <f t="array" aca="1" ref="BA25" ca="1">AM25/INDIRECT("cv."&amp;LEFT($U25,6)&amp;".hhv.MJL") * 100</f>
        <v>#REF!</v>
      </c>
      <c r="BB25" s="80" t="e" cm="1">
        <f t="array" aca="1" ref="BB25" ca="1">AN25/INDIRECT("cv."&amp;LEFT($U25,6)&amp;".hhv.MJL") * 100</f>
        <v>#REF!</v>
      </c>
      <c r="BC25" s="80" t="e" cm="1">
        <f t="array" aca="1" ref="BC25" ca="1">AO25/INDIRECT("cv."&amp;LEFT($U25,6)&amp;".hhv.MJL") * 100</f>
        <v>#REF!</v>
      </c>
      <c r="BD25" s="80" t="e" cm="1">
        <f t="array" aca="1" ref="BD25" ca="1">AP25/INDIRECT("cv."&amp;LEFT($U25,6)&amp;".hhv.MJL") * 100</f>
        <v>#REF!</v>
      </c>
    </row>
    <row r="26" spans="5:56" x14ac:dyDescent="0.25">
      <c r="E26" s="61" t="s">
        <v>62</v>
      </c>
      <c r="F26" s="61" t="s">
        <v>692</v>
      </c>
      <c r="G26" s="61" t="s">
        <v>693</v>
      </c>
      <c r="H26" s="61">
        <v>479100</v>
      </c>
      <c r="I26" s="86">
        <v>500000</v>
      </c>
      <c r="N26" s="61" t="s">
        <v>694</v>
      </c>
      <c r="O26" s="61" t="s">
        <v>613</v>
      </c>
      <c r="P26" s="61" t="s">
        <v>555</v>
      </c>
      <c r="Q26" s="61" t="str">
        <f t="shared" si="7"/>
        <v>CAR</v>
      </c>
      <c r="R26" s="61" t="s">
        <v>680</v>
      </c>
      <c r="T26" s="273" t="s">
        <v>681</v>
      </c>
      <c r="U26" s="957" t="s">
        <v>695</v>
      </c>
      <c r="V26" s="965">
        <v>2035</v>
      </c>
      <c r="W26" s="958">
        <f t="shared" si="8"/>
        <v>0</v>
      </c>
      <c r="X26" s="959">
        <f t="shared" si="6"/>
        <v>0</v>
      </c>
      <c r="Y26" s="959">
        <f t="shared" si="6"/>
        <v>0</v>
      </c>
      <c r="Z26" s="959">
        <f t="shared" si="6"/>
        <v>0</v>
      </c>
      <c r="AA26" s="959">
        <f t="shared" si="6"/>
        <v>1</v>
      </c>
      <c r="AB26" s="959">
        <f t="shared" si="6"/>
        <v>1</v>
      </c>
      <c r="AC26" s="960">
        <f t="shared" si="6"/>
        <v>1</v>
      </c>
      <c r="AD26" s="103" cm="1">
        <f t="array" ref="AD26">IF(W26,INDEX('AEA2012 update'!$K$6:$R$104,MATCH($T26&amp;$R26,'AEA2012 update'!$A$6:$A$104&amp;'AEA2012 update'!$B$6:$B$104,0),MATCH(AD$16,'AEA2012 update'!$S$4:$Z$4,0)),INDEX('AEA2012 update'!$K$6:$R$104,MATCH($T26&amp;$U26,'AEA2012 update'!$A$6:$A$104&amp;'AEA2012 update'!$B$6:$B$104,0),MATCH(AD$16,'AEA2012 update'!$S$4:$Z$4,0)))</f>
        <v>1063174.3490159395</v>
      </c>
      <c r="AE26" s="103" cm="1">
        <f t="array" ref="AE26">IF(X26,INDEX('AEA2012 update'!$K$6:$R$104,MATCH($T26&amp;$R26,'AEA2012 update'!$A$6:$A$104&amp;'AEA2012 update'!$B$6:$B$104,0),MATCH(AE$16,'AEA2012 update'!$S$4:$Z$4,0)),INDEX('AEA2012 update'!$K$6:$R$104,MATCH($T26&amp;$U26,'AEA2012 update'!$A$6:$A$104&amp;'AEA2012 update'!$B$6:$B$104,0),MATCH(AE$16,'AEA2012 update'!$S$4:$Z$4,0)))</f>
        <v>878668.58875720296</v>
      </c>
      <c r="AF26" s="103" cm="1">
        <f t="array" ref="AF26">IF(Y26,INDEX('AEA2012 update'!$K$6:$R$104,MATCH($T26&amp;$R26,'AEA2012 update'!$A$6:$A$104&amp;'AEA2012 update'!$B$6:$B$104,0),MATCH(AF$16,'AEA2012 update'!$S$4:$Z$4,0)),INDEX('AEA2012 update'!$K$6:$R$104,MATCH($T26&amp;$U26,'AEA2012 update'!$A$6:$A$104&amp;'AEA2012 update'!$B$6:$B$104,0),MATCH(AF$16,'AEA2012 update'!$S$4:$Z$4,0)))</f>
        <v>851972.15227518079</v>
      </c>
      <c r="AG26" s="103" cm="1">
        <f t="array" ref="AG26">IF(Z26,INDEX('AEA2012 update'!$K$6:$R$104,MATCH($T26&amp;$R26,'AEA2012 update'!$A$6:$A$104&amp;'AEA2012 update'!$B$6:$B$104,0),MATCH(AG$16,'AEA2012 update'!$S$4:$Z$4,0)),INDEX('AEA2012 update'!$K$6:$R$104,MATCH($T26&amp;$U26,'AEA2012 update'!$A$6:$A$104&amp;'AEA2012 update'!$B$6:$B$104,0),MATCH(AG$16,'AEA2012 update'!$S$4:$Z$4,0)))</f>
        <v>825275.71579315851</v>
      </c>
      <c r="AH26" s="103" cm="1">
        <f t="array" ref="AH26">IF(AA26,INDEX('AEA2012 update'!$K$6:$R$104,MATCH($T26&amp;$R26,'AEA2012 update'!$A$6:$A$104&amp;'AEA2012 update'!$B$6:$B$104,0),MATCH(AH$16,'AEA2012 update'!$S$4:$Z$4,0)),INDEX('AEA2012 update'!$K$6:$R$104,MATCH($T26&amp;$U26,'AEA2012 update'!$A$6:$A$104&amp;'AEA2012 update'!$B$6:$B$104,0),MATCH(AH$16,'AEA2012 update'!$S$4:$Z$4,0)))</f>
        <v>251273.34974387253</v>
      </c>
      <c r="AI26" s="103" cm="1">
        <f t="array" ref="AI26">IF(AB26,INDEX('AEA2012 update'!$K$6:$R$104,MATCH($T26&amp;$R26,'AEA2012 update'!$A$6:$A$104&amp;'AEA2012 update'!$B$6:$B$104,0),MATCH(AI$16,'AEA2012 update'!$S$4:$Z$4,0)),INDEX('AEA2012 update'!$K$6:$R$104,MATCH($T26&amp;$U26,'AEA2012 update'!$A$6:$A$104&amp;'AEA2012 update'!$B$6:$B$104,0),MATCH(AI$16,'AEA2012 update'!$S$4:$Z$4,0)))</f>
        <v>253996.92506339328</v>
      </c>
      <c r="AJ26" s="103" cm="1">
        <f t="array" ref="AJ26">IF(AC26,INDEX('AEA2012 update'!$K$6:$R$104,MATCH($T26&amp;$R26,'AEA2012 update'!$A$6:$A$104&amp;'AEA2012 update'!$B$6:$B$104,0),MATCH(AJ$16,'AEA2012 update'!$S$4:$Z$4,0)),INDEX('AEA2012 update'!$K$6:$R$104,MATCH($T26&amp;$U26,'AEA2012 update'!$A$6:$A$104&amp;'AEA2012 update'!$B$6:$B$104,0),MATCH(AJ$16,'AEA2012 update'!$S$4:$Z$4,0)))</f>
        <v>257172.600668175</v>
      </c>
      <c r="AK26" s="103" t="str">
        <f t="shared" si="9"/>
        <v>CARODSP</v>
      </c>
      <c r="AL26" s="67">
        <f>INDEX('Vehicle data '!$AD$20:$AD$110,MATCH($AK26,'Vehicle data '!$AC$20:$AC$110,0))/INDEX('Vehicle data '!$AD$20:$AD$110,MATCH($AK$20,'Vehicle data '!$AC$20:$AC$110,0))*AL$20</f>
        <v>1.4565165884490123</v>
      </c>
      <c r="AM26" s="67">
        <f t="array" ref="AM26">IF($AE$1,AL26*(1+INDEX(AM$1:AM$2,MATCH($O26,$AI$1:$AI$2,0)))^(AM$16-AL$16),INDEX('AEA2012 update'!$AC$6:$AG$104,MATCH($T26&amp;$U26,'AEA2012 update'!$A$6:$A$104&amp;'AEA2012 update'!$B$6:$B$104,0),MATCH(AM$16,'AEA2012 update'!$AC$4:$AG$4,0)))</f>
        <v>1.4347778963018374</v>
      </c>
      <c r="AN26" s="67">
        <f t="array" ref="AN26">IF($AE$1,AM26*(1+INDEX(AN$1:AN$2,MATCH($O26,$AI$1:$AI$2,0)))^(AN$16-AM$16),INDEX('AEA2012 update'!$AC$6:$AG$104,MATCH($T26&amp;$U26,'AEA2012 update'!$A$6:$A$104&amp;'AEA2012 update'!$B$6:$B$104,0),MATCH(AN$16,'AEA2012 update'!$AC$4:$AG$4,0)))</f>
        <v>1.3307296448141832</v>
      </c>
      <c r="AO26" s="67">
        <f t="array" ref="AO26">IF($AE$1,AN26*(1+INDEX(AO$1:AO$2,MATCH($O26,$AI$1:$AI$2,0)))^(AO$16-AN$16),INDEX('AEA2012 update'!$AC$6:$AG$104,MATCH($T26&amp;$U26,'AEA2012 update'!$A$6:$A$104&amp;'AEA2012 update'!$B$6:$B$104,0),MATCH(AO$16,'AEA2012 update'!$AC$4:$AG$4,0)))</f>
        <v>1.2034880374527801</v>
      </c>
      <c r="AP26" s="67">
        <f t="array" ref="AP26">IF($AE$1,AO26*(1+INDEX(AP$1:AP$2,MATCH($O26,$AI$1:$AI$2,0)))^(AP$16-AO$16),INDEX('AEA2012 update'!$AC$6:$AG$104,MATCH($T26&amp;$U26,'AEA2012 update'!$A$6:$A$104&amp;'AEA2012 update'!$B$6:$B$104,0),MATCH(AP$16,'AEA2012 update'!$AC$4:$AG$4,0)))</f>
        <v>1.0884130085598189</v>
      </c>
      <c r="AR26" s="274">
        <f t="shared" si="10"/>
        <v>-4.9750416666666389E-3</v>
      </c>
      <c r="AS26" s="274">
        <f t="shared" si="11"/>
        <v>-8.0468874575124003E-3</v>
      </c>
      <c r="AY26" s="61" t="str">
        <f t="shared" si="12"/>
        <v>CAR-ODSP</v>
      </c>
      <c r="AZ26" s="80" t="e" cm="1">
        <f t="array" aca="1" ref="AZ26" ca="1">AL26/INDIRECT("cv."&amp;LEFT($U26,6)&amp;".hhv.MJL") * 100</f>
        <v>#REF!</v>
      </c>
      <c r="BA26" s="80" t="e" cm="1">
        <f t="array" aca="1" ref="BA26" ca="1">AM26/INDIRECT("cv."&amp;LEFT($U26,6)&amp;".hhv.MJL") * 100</f>
        <v>#REF!</v>
      </c>
      <c r="BB26" s="80" t="e" cm="1">
        <f t="array" aca="1" ref="BB26" ca="1">AN26/INDIRECT("cv."&amp;LEFT($U26,6)&amp;".hhv.MJL") * 100</f>
        <v>#REF!</v>
      </c>
      <c r="BC26" s="80" t="e" cm="1">
        <f t="array" aca="1" ref="BC26" ca="1">AO26/INDIRECT("cv."&amp;LEFT($U26,6)&amp;".hhv.MJL") * 100</f>
        <v>#REF!</v>
      </c>
      <c r="BD26" s="80" t="e" cm="1">
        <f t="array" aca="1" ref="BD26" ca="1">AP26/INDIRECT("cv."&amp;LEFT($U26,6)&amp;".hhv.MJL") * 100</f>
        <v>#REF!</v>
      </c>
    </row>
    <row r="27" spans="5:56" x14ac:dyDescent="0.25">
      <c r="E27" s="61" t="s">
        <v>62</v>
      </c>
      <c r="F27" s="272" t="s">
        <v>573</v>
      </c>
      <c r="G27" s="61" t="s">
        <v>696</v>
      </c>
      <c r="H27" s="275">
        <v>236800</v>
      </c>
      <c r="I27" s="61">
        <v>290000</v>
      </c>
      <c r="N27" s="61" t="s">
        <v>501</v>
      </c>
      <c r="O27" s="61" t="s">
        <v>613</v>
      </c>
      <c r="P27" s="61" t="s">
        <v>555</v>
      </c>
      <c r="Q27" s="61" t="str">
        <f t="shared" si="7"/>
        <v>CAR</v>
      </c>
      <c r="R27" s="61" t="s">
        <v>680</v>
      </c>
      <c r="S27" s="272">
        <f>$F$22*AE27</f>
        <v>2345356.5273003438</v>
      </c>
      <c r="T27" s="273" t="s">
        <v>681</v>
      </c>
      <c r="U27" s="957" t="s">
        <v>692</v>
      </c>
      <c r="V27" s="965">
        <v>2035</v>
      </c>
      <c r="W27" s="958">
        <f t="shared" si="8"/>
        <v>0</v>
      </c>
      <c r="X27" s="959">
        <f t="shared" si="6"/>
        <v>0</v>
      </c>
      <c r="Y27" s="959">
        <f t="shared" si="6"/>
        <v>0</v>
      </c>
      <c r="Z27" s="959">
        <f t="shared" si="6"/>
        <v>0</v>
      </c>
      <c r="AA27" s="959">
        <f t="shared" si="6"/>
        <v>1</v>
      </c>
      <c r="AB27" s="959">
        <f t="shared" si="6"/>
        <v>1</v>
      </c>
      <c r="AC27" s="960">
        <f t="shared" si="6"/>
        <v>1</v>
      </c>
      <c r="AD27" s="103" cm="1">
        <f t="array" ref="AD27">IF(W27,INDEX('AEA2012 update'!$K$6:$R$104,MATCH($T27&amp;$R27,'AEA2012 update'!$A$6:$A$104&amp;'AEA2012 update'!$B$6:$B$104,0),MATCH(AD$16,'AEA2012 update'!$S$4:$Z$4,0)),INDEX('AEA2012 update'!$K$6:$R$104,MATCH($T27&amp;$U27,'AEA2012 update'!$A$6:$A$104&amp;'AEA2012 update'!$B$6:$B$104,0),MATCH(AD$16,'AEA2012 update'!$S$4:$Z$4,0)))</f>
        <v>2159095.7260271595</v>
      </c>
      <c r="AE27" s="103" cm="1">
        <f t="array" ref="AE27">IF(X27,INDEX('AEA2012 update'!$K$6:$R$104,MATCH($T27&amp;$R27,'AEA2012 update'!$A$6:$A$104&amp;'AEA2012 update'!$B$6:$B$104,0),MATCH(AE$16,'AEA2012 update'!$S$4:$Z$4,0)),INDEX('AEA2012 update'!$K$6:$R$104,MATCH($T27&amp;$U27,'AEA2012 update'!$A$6:$A$104&amp;'AEA2012 update'!$B$6:$B$104,0),MATCH(AE$16,'AEA2012 update'!$S$4:$Z$4,0)))</f>
        <v>1465847.8295627148</v>
      </c>
      <c r="AF27" s="103" cm="1">
        <f t="array" ref="AF27">IF(Y27,INDEX('AEA2012 update'!$K$6:$R$104,MATCH($T27&amp;$R27,'AEA2012 update'!$A$6:$A$104&amp;'AEA2012 update'!$B$6:$B$104,0),MATCH(AF$16,'AEA2012 update'!$S$4:$Z$4,0)),INDEX('AEA2012 update'!$K$6:$R$104,MATCH($T27&amp;$U27,'AEA2012 update'!$A$6:$A$104&amp;'AEA2012 update'!$B$6:$B$104,0),MATCH(AF$16,'AEA2012 update'!$S$4:$Z$4,0)))</f>
        <v>1339851.5427458035</v>
      </c>
      <c r="AG27" s="103" cm="1">
        <f t="array" ref="AG27">IF(Z27,INDEX('AEA2012 update'!$K$6:$R$104,MATCH($T27&amp;$R27,'AEA2012 update'!$A$6:$A$104&amp;'AEA2012 update'!$B$6:$B$104,0),MATCH(AG$16,'AEA2012 update'!$S$4:$Z$4,0)),INDEX('AEA2012 update'!$K$6:$R$104,MATCH($T27&amp;$U27,'AEA2012 update'!$A$6:$A$104&amp;'AEA2012 update'!$B$6:$B$104,0),MATCH(AG$16,'AEA2012 update'!$S$4:$Z$4,0)))</f>
        <v>1213855.2559288922</v>
      </c>
      <c r="AH27" s="103" cm="1">
        <f t="array" ref="AH27">IF(AA27,INDEX('AEA2012 update'!$K$6:$R$104,MATCH($T27&amp;$R27,'AEA2012 update'!$A$6:$A$104&amp;'AEA2012 update'!$B$6:$B$104,0),MATCH(AH$16,'AEA2012 update'!$S$4:$Z$4,0)),INDEX('AEA2012 update'!$K$6:$R$104,MATCH($T27&amp;$U27,'AEA2012 update'!$A$6:$A$104&amp;'AEA2012 update'!$B$6:$B$104,0),MATCH(AH$16,'AEA2012 update'!$S$4:$Z$4,0)))</f>
        <v>251273.34974387253</v>
      </c>
      <c r="AI27" s="103" cm="1">
        <f t="array" ref="AI27">IF(AB27,INDEX('AEA2012 update'!$K$6:$R$104,MATCH($T27&amp;$R27,'AEA2012 update'!$A$6:$A$104&amp;'AEA2012 update'!$B$6:$B$104,0),MATCH(AI$16,'AEA2012 update'!$S$4:$Z$4,0)),INDEX('AEA2012 update'!$K$6:$R$104,MATCH($T27&amp;$U27,'AEA2012 update'!$A$6:$A$104&amp;'AEA2012 update'!$B$6:$B$104,0),MATCH(AI$16,'AEA2012 update'!$S$4:$Z$4,0)))</f>
        <v>253996.92506339328</v>
      </c>
      <c r="AJ27" s="103" cm="1">
        <f t="array" ref="AJ27">IF(AC27,INDEX('AEA2012 update'!$K$6:$R$104,MATCH($T27&amp;$R27,'AEA2012 update'!$A$6:$A$104&amp;'AEA2012 update'!$B$6:$B$104,0),MATCH(AJ$16,'AEA2012 update'!$S$4:$Z$4,0)),INDEX('AEA2012 update'!$K$6:$R$104,MATCH($T27&amp;$U27,'AEA2012 update'!$A$6:$A$104&amp;'AEA2012 update'!$B$6:$B$104,0),MATCH(AJ$16,'AEA2012 update'!$S$4:$Z$4,0)))</f>
        <v>257172.600668175</v>
      </c>
      <c r="AK27" s="212">
        <f>15.8*3.6/100</f>
        <v>0.56879999999999997</v>
      </c>
      <c r="AL27" s="67">
        <f>AK27</f>
        <v>0.56879999999999997</v>
      </c>
      <c r="AM27" s="67">
        <f t="array" ref="AM27">IF($AE$1,AL27*(1+INDEX(AM$1:AM$2,MATCH($O27,$AI$1:$AI$2,0)))^(AM$16-AL$16),INDEX('AEA2012 update'!$AC$6:$AG$104,MATCH($T27&amp;$U27,'AEA2012 update'!$A$6:$A$104&amp;'AEA2012 update'!$B$6:$B$104,0),MATCH(AM$16,'AEA2012 update'!$AC$4:$AG$4,0)))</f>
        <v>0.56031058889999996</v>
      </c>
      <c r="AN27" s="67">
        <f t="array" ref="AN27">IF($AE$1,AM27*(1+INDEX(AN$1:AN$2,MATCH($O27,$AI$1:$AI$2,0)))^(AN$16-AM$16),INDEX('AEA2012 update'!$AC$6:$AG$104,MATCH($T27&amp;$U27,'AEA2012 update'!$A$6:$A$104&amp;'AEA2012 update'!$B$6:$B$104,0),MATCH(AN$16,'AEA2012 update'!$AC$4:$AG$4,0)))</f>
        <v>0.51967758415736331</v>
      </c>
      <c r="AO27" s="67">
        <f t="array" ref="AO27">IF($AE$1,AN27*(1+INDEX(AO$1:AO$2,MATCH($O27,$AI$1:$AI$2,0)))^(AO$16-AN$16),INDEX('AEA2012 update'!$AC$6:$AG$104,MATCH($T27&amp;$U27,'AEA2012 update'!$A$6:$A$104&amp;'AEA2012 update'!$B$6:$B$104,0),MATCH(AO$16,'AEA2012 update'!$AC$4:$AG$4,0)))</f>
        <v>0.46998709189579874</v>
      </c>
      <c r="AP27" s="67">
        <f t="array" ref="AP27">IF($AE$1,AO27*(1+INDEX(AP$1:AP$2,MATCH($O27,$AI$1:$AI$2,0)))^(AP$16-AO$16),INDEX('AEA2012 update'!$AC$6:$AG$104,MATCH($T27&amp;$U27,'AEA2012 update'!$A$6:$A$104&amp;'AEA2012 update'!$B$6:$B$104,0),MATCH(AP$16,'AEA2012 update'!$AC$4:$AG$4,0)))</f>
        <v>0.42504790139607607</v>
      </c>
      <c r="AR27" s="274">
        <f t="shared" si="10"/>
        <v>-4.9750416666666727E-3</v>
      </c>
      <c r="AS27" s="274">
        <f t="shared" si="11"/>
        <v>-8.0468874575124003E-3</v>
      </c>
      <c r="AT27" s="67" t="e">
        <f>INDEX($N$272:$AE$272,,MATCH(AT$16,$N$269:$AE$269,0))</f>
        <v>#N/A</v>
      </c>
      <c r="AU27" s="67">
        <f>INDEX($N$272:$AE$272,,MATCH(AU$16,$N$269:$AE$269,0))</f>
        <v>1</v>
      </c>
      <c r="AV27" s="67">
        <f>INDEX($N$272:$AE$272,,MATCH(AV$16,$N$269:$AE$269,0))</f>
        <v>1</v>
      </c>
      <c r="AW27" s="67">
        <f>INDEX($N$272:$AE$272,,MATCH(AW$16,$N$269:$AE$269,0))</f>
        <v>1</v>
      </c>
      <c r="AX27" s="67">
        <f>INDEX($N$272:$AE$272,,MATCH(AX$16,$N$269:$AE$269,0))</f>
        <v>1</v>
      </c>
      <c r="AY27" s="61" t="str">
        <f t="shared" si="12"/>
        <v>CAR-ELC</v>
      </c>
      <c r="AZ27" s="80" t="e" cm="1">
        <f t="array" aca="1" ref="AZ27" ca="1">AL27/INDIRECT("cv."&amp;LEFT($U20,6)&amp;".hhv.MJL") * 100</f>
        <v>#REF!</v>
      </c>
      <c r="BA27" s="80" t="e" cm="1">
        <f t="array" aca="1" ref="BA27" ca="1">AM27/INDIRECT("cv."&amp;LEFT($U20,6)&amp;".hhv.MJL") * 100</f>
        <v>#REF!</v>
      </c>
      <c r="BB27" s="80" t="e" cm="1">
        <f t="array" aca="1" ref="BB27" ca="1">AN27/INDIRECT("cv."&amp;LEFT($U20,6)&amp;".hhv.MJL") * 100</f>
        <v>#REF!</v>
      </c>
      <c r="BC27" s="80" t="e" cm="1">
        <f t="array" aca="1" ref="BC27" ca="1">AO27/INDIRECT("cv."&amp;LEFT($U20,6)&amp;".hhv.MJL") * 100</f>
        <v>#REF!</v>
      </c>
      <c r="BD27" s="80" t="e" cm="1">
        <f t="array" aca="1" ref="BD27" ca="1">AP27/INDIRECT("cv."&amp;LEFT($U20,6)&amp;".hhv.MJL") * 100</f>
        <v>#REF!</v>
      </c>
    </row>
    <row r="28" spans="5:56" x14ac:dyDescent="0.25">
      <c r="E28" s="61" t="s">
        <v>697</v>
      </c>
      <c r="F28" s="61" t="s">
        <v>511</v>
      </c>
      <c r="G28" s="269" t="s">
        <v>698</v>
      </c>
      <c r="H28" s="275">
        <v>253599.84</v>
      </c>
      <c r="N28" s="61" t="s">
        <v>504</v>
      </c>
      <c r="O28" s="61" t="s">
        <v>613</v>
      </c>
      <c r="P28" s="61" t="s">
        <v>555</v>
      </c>
      <c r="Q28" s="61" t="str">
        <f t="shared" si="7"/>
        <v>CAR</v>
      </c>
      <c r="R28" s="61" t="s">
        <v>680</v>
      </c>
      <c r="S28" s="65"/>
      <c r="T28" s="273" t="s">
        <v>681</v>
      </c>
      <c r="U28" s="957" t="s">
        <v>699</v>
      </c>
      <c r="V28" s="965">
        <v>2050</v>
      </c>
      <c r="W28" s="958">
        <f t="shared" si="8"/>
        <v>0</v>
      </c>
      <c r="X28" s="959">
        <f t="shared" si="6"/>
        <v>0</v>
      </c>
      <c r="Y28" s="959">
        <f t="shared" si="6"/>
        <v>0</v>
      </c>
      <c r="Z28" s="959">
        <f t="shared" si="6"/>
        <v>0</v>
      </c>
      <c r="AA28" s="959">
        <f t="shared" si="6"/>
        <v>0</v>
      </c>
      <c r="AB28" s="959">
        <f t="shared" si="6"/>
        <v>0</v>
      </c>
      <c r="AC28" s="960">
        <f t="shared" si="6"/>
        <v>1</v>
      </c>
      <c r="AD28" s="103" cm="1">
        <f t="array" ref="AD28">IF(W28,INDEX('AEA2012 update'!$K$6:$R$104,MATCH($T28&amp;$R28,'AEA2012 update'!$A$6:$A$104&amp;'AEA2012 update'!$B$6:$B$104,0),MATCH(AD$16,'AEA2012 update'!$S$4:$Z$4,0)),INDEX('AEA2012 update'!$K$6:$R$104,MATCH($T28&amp;$U28,'AEA2012 update'!$A$6:$A$104&amp;'AEA2012 update'!$B$6:$B$104,0),MATCH(AD$16,'AEA2012 update'!$S$4:$Z$4,0)))</f>
        <v>5561617.6018542452</v>
      </c>
      <c r="AE28" s="103" cm="1">
        <f t="array" ref="AE28">IF(X28,INDEX('AEA2012 update'!$K$6:$R$104,MATCH($T28&amp;$R28,'AEA2012 update'!$A$6:$A$104&amp;'AEA2012 update'!$B$6:$B$104,0),MATCH(AE$16,'AEA2012 update'!$S$4:$Z$4,0)),INDEX('AEA2012 update'!$K$6:$R$104,MATCH($T28&amp;$U28,'AEA2012 update'!$A$6:$A$104&amp;'AEA2012 update'!$B$6:$B$104,0),MATCH(AE$16,'AEA2012 update'!$S$4:$Z$4,0)))</f>
        <v>2198771.7443440724</v>
      </c>
      <c r="AF28" s="103" cm="1">
        <f t="array" ref="AF28">IF(Y28,INDEX('AEA2012 update'!$K$6:$R$104,MATCH($T28&amp;$R28,'AEA2012 update'!$A$6:$A$104&amp;'AEA2012 update'!$B$6:$B$104,0),MATCH(AF$16,'AEA2012 update'!$S$4:$Z$4,0)),INDEX('AEA2012 update'!$K$6:$R$104,MATCH($T28&amp;$U28,'AEA2012 update'!$A$6:$A$104&amp;'AEA2012 update'!$B$6:$B$104,0),MATCH(AF$16,'AEA2012 update'!$S$4:$Z$4,0)))</f>
        <v>1677376.0685646401</v>
      </c>
      <c r="AG28" s="103" cm="1">
        <f t="array" ref="AG28">IF(Z28,INDEX('AEA2012 update'!$K$6:$R$104,MATCH($T28&amp;$R28,'AEA2012 update'!$A$6:$A$104&amp;'AEA2012 update'!$B$6:$B$104,0),MATCH(AG$16,'AEA2012 update'!$S$4:$Z$4,0)),INDEX('AEA2012 update'!$K$6:$R$104,MATCH($T28&amp;$U28,'AEA2012 update'!$A$6:$A$104&amp;'AEA2012 update'!$B$6:$B$104,0),MATCH(AG$16,'AEA2012 update'!$S$4:$Z$4,0)))</f>
        <v>1155980.3927852078</v>
      </c>
      <c r="AH28" s="103" cm="1">
        <f t="array" ref="AH28">IF(AA28,INDEX('AEA2012 update'!$K$6:$R$104,MATCH($T28&amp;$R28,'AEA2012 update'!$A$6:$A$104&amp;'AEA2012 update'!$B$6:$B$104,0),MATCH(AH$16,'AEA2012 update'!$S$4:$Z$4,0)),INDEX('AEA2012 update'!$K$6:$R$104,MATCH($T28&amp;$U28,'AEA2012 update'!$A$6:$A$104&amp;'AEA2012 update'!$B$6:$B$104,0),MATCH(AH$16,'AEA2012 update'!$S$4:$Z$4,0)))</f>
        <v>1094147.4529170424</v>
      </c>
      <c r="AI28" s="103" cm="1">
        <f t="array" ref="AI28">IF(AB28,INDEX('AEA2012 update'!$K$6:$R$104,MATCH($T28&amp;$R28,'AEA2012 update'!$A$6:$A$104&amp;'AEA2012 update'!$B$6:$B$104,0),MATCH(AI$16,'AEA2012 update'!$S$4:$Z$4,0)),INDEX('AEA2012 update'!$K$6:$R$104,MATCH($T28&amp;$U28,'AEA2012 update'!$A$6:$A$104&amp;'AEA2012 update'!$B$6:$B$104,0),MATCH(AI$16,'AEA2012 update'!$S$4:$Z$4,0)))</f>
        <v>1032314.5130488771</v>
      </c>
      <c r="AJ28" s="103" cm="1">
        <f t="array" ref="AJ28">IF(AC28,INDEX('AEA2012 update'!$K$6:$R$104,MATCH($T28&amp;$R28,'AEA2012 update'!$A$6:$A$104&amp;'AEA2012 update'!$B$6:$B$104,0),MATCH(AJ$16,'AEA2012 update'!$S$4:$Z$4,0)),INDEX('AEA2012 update'!$K$6:$R$104,MATCH($T28&amp;$U28,'AEA2012 update'!$A$6:$A$104&amp;'AEA2012 update'!$B$6:$B$104,0),MATCH(AJ$16,'AEA2012 update'!$S$4:$Z$4,0)))</f>
        <v>257172.600668175</v>
      </c>
      <c r="AK28" s="103" t="str">
        <f t="shared" ref="AK28:AK91" si="13">Q28&amp;N28</f>
        <v>CARHGN</v>
      </c>
      <c r="AL28" s="67">
        <f>INDEX('Vehicle data '!$AD$20:$AD$110,MATCH($AK28,'Vehicle data '!$AC$20:$AC$110,0))/INDEX('Vehicle data '!$AD$20:$AD$110,MATCH($AK$20,'Vehicle data '!$AC$20:$AC$110,0))*AL$20</f>
        <v>1.0864894518065684</v>
      </c>
      <c r="AM28" s="67">
        <f t="array" ref="AM28">IF($AE$1,AL28*(1+INDEX(AM$1:AM$2,MATCH($O28,$AI$1:$AI$2,0)))^(AM$16-AL$16),INDEX('AEA2012 update'!$AC$6:$AG$104,MATCH($T28&amp;$U28,'AEA2012 update'!$A$6:$A$104&amp;'AEA2012 update'!$B$6:$B$104,0),MATCH(AM$16,'AEA2012 update'!$AC$4:$AG$4,0)))</f>
        <v>1.070273460927174</v>
      </c>
      <c r="AN28" s="67">
        <f t="array" ref="AN28">IF($AE$1,AM28*(1+INDEX(AN$1:AN$2,MATCH($O28,$AI$1:$AI$2,0)))^(AN$16-AM$16),INDEX('AEA2012 update'!$AC$6:$AG$104,MATCH($T28&amp;$U28,'AEA2012 update'!$A$6:$A$104&amp;'AEA2012 update'!$B$6:$B$104,0),MATCH(AN$16,'AEA2012 update'!$AC$4:$AG$4,0)))</f>
        <v>0.99265860324770672</v>
      </c>
      <c r="AO28" s="67">
        <f t="array" ref="AO28">IF($AE$1,AN28*(1+INDEX(AO$1:AO$2,MATCH($O28,$AI$1:$AI$2,0)))^(AO$16-AN$16),INDEX('AEA2012 update'!$AC$6:$AG$104,MATCH($T28&amp;$U28,'AEA2012 update'!$A$6:$A$104&amp;'AEA2012 update'!$B$6:$B$104,0),MATCH(AO$16,'AEA2012 update'!$AC$4:$AG$4,0)))</f>
        <v>0.89774264738050236</v>
      </c>
      <c r="AP28" s="67">
        <f t="array" ref="AP28">IF($AE$1,AO28*(1+INDEX(AP$1:AP$2,MATCH($O28,$AI$1:$AI$2,0)))^(AP$16-AO$16),INDEX('AEA2012 update'!$AC$6:$AG$104,MATCH($T28&amp;$U28,'AEA2012 update'!$A$6:$A$104&amp;'AEA2012 update'!$B$6:$B$104,0),MATCH(AP$16,'AEA2012 update'!$AC$4:$AG$4,0)))</f>
        <v>0.81190235826187607</v>
      </c>
      <c r="AR28" s="274">
        <f t="shared" si="10"/>
        <v>-4.9750416666666337E-3</v>
      </c>
      <c r="AS28" s="274">
        <f t="shared" si="11"/>
        <v>-8.0468874575124003E-3</v>
      </c>
      <c r="AY28" s="61" t="str">
        <f t="shared" si="12"/>
        <v>CAR-HGN</v>
      </c>
      <c r="AZ28" s="80"/>
      <c r="BA28" s="80"/>
      <c r="BB28" s="80"/>
      <c r="BC28" s="80"/>
      <c r="BD28" s="80"/>
    </row>
    <row r="29" spans="5:56" x14ac:dyDescent="0.25">
      <c r="N29" s="61" t="s">
        <v>509</v>
      </c>
      <c r="O29" s="61" t="s">
        <v>613</v>
      </c>
      <c r="P29" s="61" t="s">
        <v>555</v>
      </c>
      <c r="Q29" s="61" t="str">
        <f t="shared" si="7"/>
        <v>CAR</v>
      </c>
      <c r="R29" s="61" t="s">
        <v>680</v>
      </c>
      <c r="S29" s="65"/>
      <c r="T29" s="273" t="s">
        <v>681</v>
      </c>
      <c r="U29" s="957" t="s">
        <v>700</v>
      </c>
      <c r="V29" s="965"/>
      <c r="W29" s="958">
        <f t="shared" si="8"/>
        <v>0</v>
      </c>
      <c r="X29" s="959">
        <f t="shared" si="6"/>
        <v>0</v>
      </c>
      <c r="Y29" s="959">
        <f t="shared" si="6"/>
        <v>0</v>
      </c>
      <c r="Z29" s="959">
        <f t="shared" si="6"/>
        <v>0</v>
      </c>
      <c r="AA29" s="959">
        <f t="shared" si="6"/>
        <v>0</v>
      </c>
      <c r="AB29" s="959">
        <f t="shared" si="6"/>
        <v>0</v>
      </c>
      <c r="AC29" s="960">
        <f t="shared" si="6"/>
        <v>0</v>
      </c>
      <c r="AD29" s="103" cm="1">
        <f t="array" ref="AD29">IF(W29,INDEX('AEA2012 update'!$K$6:$R$104,MATCH($T29&amp;$R29,'AEA2012 update'!$A$6:$A$104&amp;'AEA2012 update'!$B$6:$B$104,0),MATCH(AD$16,'AEA2012 update'!$S$4:$Z$4,0)),INDEX('AEA2012 update'!$K$6:$R$104,MATCH($T29&amp;$U29,'AEA2012 update'!$A$6:$A$104&amp;'AEA2012 update'!$B$6:$B$104,0),MATCH(AD$16,'AEA2012 update'!$S$4:$Z$4,0)))</f>
        <v>376679.62430658605</v>
      </c>
      <c r="AE29" s="103" cm="1">
        <f t="array" ref="AE29">IF(X29,INDEX('AEA2012 update'!$K$6:$R$104,MATCH($T29&amp;$R29,'AEA2012 update'!$A$6:$A$104&amp;'AEA2012 update'!$B$6:$B$104,0),MATCH(AE$16,'AEA2012 update'!$S$4:$Z$4,0)),INDEX('AEA2012 update'!$K$6:$R$104,MATCH($T29&amp;$U29,'AEA2012 update'!$A$6:$A$104&amp;'AEA2012 update'!$B$6:$B$104,0),MATCH(AE$16,'AEA2012 update'!$S$4:$Z$4,0)))</f>
        <v>396599.43072780268</v>
      </c>
      <c r="AF29" s="103" cm="1">
        <f t="array" ref="AF29">IF(Y29,INDEX('AEA2012 update'!$K$6:$R$104,MATCH($T29&amp;$R29,'AEA2012 update'!$A$6:$A$104&amp;'AEA2012 update'!$B$6:$B$104,0),MATCH(AF$16,'AEA2012 update'!$S$4:$Z$4,0)),INDEX('AEA2012 update'!$K$6:$R$104,MATCH($T29&amp;$U29,'AEA2012 update'!$A$6:$A$104&amp;'AEA2012 update'!$B$6:$B$104,0),MATCH(AF$16,'AEA2012 update'!$S$4:$Z$4,0)))</f>
        <v>400607.99761902145</v>
      </c>
      <c r="AG29" s="103" cm="1">
        <f t="array" ref="AG29">IF(Z29,INDEX('AEA2012 update'!$K$6:$R$104,MATCH($T29&amp;$R29,'AEA2012 update'!$A$6:$A$104&amp;'AEA2012 update'!$B$6:$B$104,0),MATCH(AG$16,'AEA2012 update'!$S$4:$Z$4,0)),INDEX('AEA2012 update'!$K$6:$R$104,MATCH($T29&amp;$U29,'AEA2012 update'!$A$6:$A$104&amp;'AEA2012 update'!$B$6:$B$104,0),MATCH(AG$16,'AEA2012 update'!$S$4:$Z$4,0)))</f>
        <v>404616.56451024022</v>
      </c>
      <c r="AH29" s="103" cm="1">
        <f t="array" ref="AH29">IF(AA29,INDEX('AEA2012 update'!$K$6:$R$104,MATCH($T29&amp;$R29,'AEA2012 update'!$A$6:$A$104&amp;'AEA2012 update'!$B$6:$B$104,0),MATCH(AH$16,'AEA2012 update'!$S$4:$Z$4,0)),INDEX('AEA2012 update'!$K$6:$R$104,MATCH($T29&amp;$U29,'AEA2012 update'!$A$6:$A$104&amp;'AEA2012 update'!$B$6:$B$104,0),MATCH(AH$16,'AEA2012 update'!$S$4:$Z$4,0)))</f>
        <v>407703.15451742715</v>
      </c>
      <c r="AI29" s="103" cm="1">
        <f t="array" ref="AI29">IF(AB29,INDEX('AEA2012 update'!$K$6:$R$104,MATCH($T29&amp;$R29,'AEA2012 update'!$A$6:$A$104&amp;'AEA2012 update'!$B$6:$B$104,0),MATCH(AI$16,'AEA2012 update'!$S$4:$Z$4,0)),INDEX('AEA2012 update'!$K$6:$R$104,MATCH($T29&amp;$U29,'AEA2012 update'!$A$6:$A$104&amp;'AEA2012 update'!$B$6:$B$104,0),MATCH(AI$16,'AEA2012 update'!$S$4:$Z$4,0)))</f>
        <v>410789.74452461401</v>
      </c>
      <c r="AJ29" s="103" cm="1">
        <f t="array" ref="AJ29">IF(AC29,INDEX('AEA2012 update'!$K$6:$R$104,MATCH($T29&amp;$R29,'AEA2012 update'!$A$6:$A$104&amp;'AEA2012 update'!$B$6:$B$104,0),MATCH(AJ$16,'AEA2012 update'!$S$4:$Z$4,0)),INDEX('AEA2012 update'!$K$6:$R$104,MATCH($T29&amp;$U29,'AEA2012 update'!$A$6:$A$104&amp;'AEA2012 update'!$B$6:$B$104,0),MATCH(AJ$16,'AEA2012 update'!$S$4:$Z$4,0)))</f>
        <v>414211.03231367638</v>
      </c>
      <c r="AK29" s="103" t="str">
        <f t="shared" si="13"/>
        <v>CARGAS</v>
      </c>
      <c r="AL29" s="67">
        <f>INDEX('Vehicle data '!$AD$20:$AD$110,MATCH($AK29,'Vehicle data '!$AC$20:$AC$110,0))/INDEX('Vehicle data '!$AD$20:$AD$110,MATCH($AK$20,'Vehicle data '!$AC$20:$AC$110,0))*AL$20</f>
        <v>2.802205701073782</v>
      </c>
      <c r="AM29" s="67">
        <f t="array" ref="AM29">IF($AE$1,AL29*(1+INDEX(AM$1:AM$2,MATCH($O29,$AI$1:$AI$2,0)))^(AM$16-AL$16),INDEX('AEA2012 update'!$AC$6:$AG$104,MATCH($T29&amp;$U29,'AEA2012 update'!$A$6:$A$104&amp;'AEA2012 update'!$B$6:$B$104,0),MATCH(AM$16,'AEA2012 update'!$AC$4:$AG$4,0)))</f>
        <v>2.760382430709543</v>
      </c>
      <c r="AN29" s="67">
        <f t="array" ref="AN29">IF($AE$1,AM29*(1+INDEX(AN$1:AN$2,MATCH($O29,$AI$1:$AI$2,0)))^(AN$16-AM$16),INDEX('AEA2012 update'!$AC$6:$AG$104,MATCH($T29&amp;$U29,'AEA2012 update'!$A$6:$A$104&amp;'AEA2012 update'!$B$6:$B$104,0),MATCH(AN$16,'AEA2012 update'!$AC$4:$AG$4,0)))</f>
        <v>2.5602030398136666</v>
      </c>
      <c r="AO29" s="67">
        <f t="array" ref="AO29">IF($AE$1,AN29*(1+INDEX(AO$1:AO$2,MATCH($O29,$AI$1:$AI$2,0)))^(AO$16-AN$16),INDEX('AEA2012 update'!$AC$6:$AG$104,MATCH($T29&amp;$U29,'AEA2012 update'!$A$6:$A$104&amp;'AEA2012 update'!$B$6:$B$104,0),MATCH(AO$16,'AEA2012 update'!$AC$4:$AG$4,0)))</f>
        <v>2.3154017375905322</v>
      </c>
      <c r="AP29" s="67">
        <f t="array" ref="AP29">IF($AE$1,AO29*(1+INDEX(AP$1:AP$2,MATCH($O29,$AI$1:$AI$2,0)))^(AP$16-AO$16),INDEX('AEA2012 update'!$AC$6:$AG$104,MATCH($T29&amp;$U29,'AEA2012 update'!$A$6:$A$104&amp;'AEA2012 update'!$B$6:$B$104,0),MATCH(AP$16,'AEA2012 update'!$AC$4:$AG$4,0)))</f>
        <v>2.0940078279211165</v>
      </c>
      <c r="AR29" s="274">
        <f t="shared" si="10"/>
        <v>-4.9750416666666797E-3</v>
      </c>
      <c r="AS29" s="274">
        <f t="shared" si="11"/>
        <v>-8.0468874575124021E-3</v>
      </c>
      <c r="AY29" s="61" t="str">
        <f t="shared" si="12"/>
        <v>CAR-GAS</v>
      </c>
      <c r="AZ29" s="80"/>
      <c r="BA29" s="80"/>
      <c r="BB29" s="80"/>
      <c r="BC29" s="80"/>
      <c r="BD29" s="80"/>
    </row>
    <row r="30" spans="5:56" x14ac:dyDescent="0.25">
      <c r="O30" s="61" t="s">
        <v>613</v>
      </c>
      <c r="Q30" s="61" t="str">
        <f t="shared" si="7"/>
        <v/>
      </c>
      <c r="S30" s="65"/>
      <c r="T30" s="273"/>
      <c r="V30" s="965"/>
      <c r="W30" s="961">
        <f t="shared" si="8"/>
        <v>0</v>
      </c>
      <c r="X30" s="962">
        <f t="shared" si="6"/>
        <v>0</v>
      </c>
      <c r="Y30" s="962">
        <f t="shared" si="6"/>
        <v>0</v>
      </c>
      <c r="Z30" s="962">
        <f t="shared" si="6"/>
        <v>0</v>
      </c>
      <c r="AA30" s="962">
        <f t="shared" si="6"/>
        <v>0</v>
      </c>
      <c r="AB30" s="962">
        <f t="shared" si="6"/>
        <v>0</v>
      </c>
      <c r="AC30" s="963">
        <f t="shared" si="6"/>
        <v>0</v>
      </c>
      <c r="AD30" s="103" t="e" cm="1">
        <f t="array" ref="AD30">IF(W30,INDEX('AEA2012 update'!$K$6:$R$104,MATCH($T30&amp;$R30,'AEA2012 update'!$A$6:$A$104&amp;'AEA2012 update'!$B$6:$B$104,0),MATCH(AD$16,'AEA2012 update'!$S$4:$Z$4,0)),INDEX('AEA2012 update'!$K$6:$R$104,MATCH($T30&amp;$U30,'AEA2012 update'!$A$6:$A$104&amp;'AEA2012 update'!$B$6:$B$104,0),MATCH(AD$16,'AEA2012 update'!$S$4:$Z$4,0)))</f>
        <v>#N/A</v>
      </c>
      <c r="AE30" s="103" t="e" cm="1">
        <f t="array" ref="AE30">IF(X30,INDEX('AEA2012 update'!$K$6:$R$104,MATCH($T30&amp;$R30,'AEA2012 update'!$A$6:$A$104&amp;'AEA2012 update'!$B$6:$B$104,0),MATCH(AE$16,'AEA2012 update'!$S$4:$Z$4,0)),INDEX('AEA2012 update'!$K$6:$R$104,MATCH($T30&amp;$U30,'AEA2012 update'!$A$6:$A$104&amp;'AEA2012 update'!$B$6:$B$104,0),MATCH(AE$16,'AEA2012 update'!$S$4:$Z$4,0)))</f>
        <v>#N/A</v>
      </c>
      <c r="AF30" s="103" t="e" cm="1">
        <f t="array" ref="AF30">IF(Y30,INDEX('AEA2012 update'!$K$6:$R$104,MATCH($T30&amp;$R30,'AEA2012 update'!$A$6:$A$104&amp;'AEA2012 update'!$B$6:$B$104,0),MATCH(AF$16,'AEA2012 update'!$S$4:$Z$4,0)),INDEX('AEA2012 update'!$K$6:$R$104,MATCH($T30&amp;$U30,'AEA2012 update'!$A$6:$A$104&amp;'AEA2012 update'!$B$6:$B$104,0),MATCH(AF$16,'AEA2012 update'!$S$4:$Z$4,0)))</f>
        <v>#N/A</v>
      </c>
      <c r="AG30" s="103" t="e" cm="1">
        <f t="array" ref="AG30">IF(Z30,INDEX('AEA2012 update'!$K$6:$R$104,MATCH($T30&amp;$R30,'AEA2012 update'!$A$6:$A$104&amp;'AEA2012 update'!$B$6:$B$104,0),MATCH(AG$16,'AEA2012 update'!$S$4:$Z$4,0)),INDEX('AEA2012 update'!$K$6:$R$104,MATCH($T30&amp;$U30,'AEA2012 update'!$A$6:$A$104&amp;'AEA2012 update'!$B$6:$B$104,0),MATCH(AG$16,'AEA2012 update'!$S$4:$Z$4,0)))</f>
        <v>#N/A</v>
      </c>
      <c r="AH30" s="103" t="e" cm="1">
        <f t="array" ref="AH30">IF(AA30,INDEX('AEA2012 update'!$K$6:$R$104,MATCH($T30&amp;$R30,'AEA2012 update'!$A$6:$A$104&amp;'AEA2012 update'!$B$6:$B$104,0),MATCH(AH$16,'AEA2012 update'!$S$4:$Z$4,0)),INDEX('AEA2012 update'!$K$6:$R$104,MATCH($T30&amp;$U30,'AEA2012 update'!$A$6:$A$104&amp;'AEA2012 update'!$B$6:$B$104,0),MATCH(AH$16,'AEA2012 update'!$S$4:$Z$4,0)))</f>
        <v>#N/A</v>
      </c>
      <c r="AI30" s="103" t="e" cm="1">
        <f t="array" ref="AI30">IF(AB30,INDEX('AEA2012 update'!$K$6:$R$104,MATCH($T30&amp;$R30,'AEA2012 update'!$A$6:$A$104&amp;'AEA2012 update'!$B$6:$B$104,0),MATCH(AI$16,'AEA2012 update'!$S$4:$Z$4,0)),INDEX('AEA2012 update'!$K$6:$R$104,MATCH($T30&amp;$U30,'AEA2012 update'!$A$6:$A$104&amp;'AEA2012 update'!$B$6:$B$104,0),MATCH(AI$16,'AEA2012 update'!$S$4:$Z$4,0)))</f>
        <v>#N/A</v>
      </c>
      <c r="AJ30" s="103" t="e" cm="1">
        <f t="array" ref="AJ30">IF(AC30,INDEX('AEA2012 update'!$K$6:$R$104,MATCH($T30&amp;$R30,'AEA2012 update'!$A$6:$A$104&amp;'AEA2012 update'!$B$6:$B$104,0),MATCH(AJ$16,'AEA2012 update'!$S$4:$Z$4,0)),INDEX('AEA2012 update'!$K$6:$R$104,MATCH($T30&amp;$U30,'AEA2012 update'!$A$6:$A$104&amp;'AEA2012 update'!$B$6:$B$104,0),MATCH(AJ$16,'AEA2012 update'!$S$4:$Z$4,0)))</f>
        <v>#N/A</v>
      </c>
      <c r="AK30" s="103" t="str">
        <f t="shared" si="13"/>
        <v/>
      </c>
      <c r="AL30" s="67" t="e">
        <f>1/INDEX(Analytica!$AA$17:$AE$48,MATCH($AK30,Analytica!$A$17:$A$48,0),MATCH(AL$16,Analytica!$AA$16:$AE$16,0))</f>
        <v>#N/A</v>
      </c>
      <c r="AM30" s="67" t="e">
        <f t="array" ref="AM30">IF($AE$1,AL30*(1+INDEX(AM$1:AM$2,MATCH($O30,$AI$1:$AI$2,0)))^(AM$16-AL$16),INDEX('AEA2012 update'!$AC$6:$AG$104,MATCH($T30&amp;$U30,'AEA2012 update'!$A$6:$A$104&amp;'AEA2012 update'!$B$6:$B$104,0),MATCH(AM$16,'AEA2012 update'!$AC$4:$AG$4,0)))</f>
        <v>#N/A</v>
      </c>
      <c r="AN30" s="67" t="e">
        <f t="array" ref="AN30">IF($AE$1,AM30*(1+INDEX(AN$1:AN$2,MATCH($O30,$AI$1:$AI$2,0)))^(AN$16-AM$16),INDEX('AEA2012 update'!$AC$6:$AG$104,MATCH($T30&amp;$U30,'AEA2012 update'!$A$6:$A$104&amp;'AEA2012 update'!$B$6:$B$104,0),MATCH(AN$16,'AEA2012 update'!$AC$4:$AG$4,0)))</f>
        <v>#N/A</v>
      </c>
      <c r="AO30" s="67" t="e">
        <f t="array" ref="AO30">IF($AE$1,AN30*(1+INDEX(AO$1:AO$2,MATCH($O30,$AI$1:$AI$2,0)))^(AO$16-AN$16),INDEX('AEA2012 update'!$AC$6:$AG$104,MATCH($T30&amp;$U30,'AEA2012 update'!$A$6:$A$104&amp;'AEA2012 update'!$B$6:$B$104,0),MATCH(AO$16,'AEA2012 update'!$AC$4:$AG$4,0)))</f>
        <v>#N/A</v>
      </c>
      <c r="AP30" s="67" t="e">
        <f t="array" ref="AP30">IF($AE$1,AO30*(1+INDEX(AP$1:AP$2,MATCH($O30,$AI$1:$AI$2,0)))^(AP$16-AO$16),INDEX('AEA2012 update'!$AC$6:$AG$104,MATCH($T30&amp;$U30,'AEA2012 update'!$A$6:$A$104&amp;'AEA2012 update'!$B$6:$B$104,0),MATCH(AP$16,'AEA2012 update'!$AC$4:$AG$4,0)))</f>
        <v>#N/A</v>
      </c>
      <c r="AR30" s="274" t="e">
        <f t="shared" si="10"/>
        <v>#N/A</v>
      </c>
      <c r="AS30" s="274" t="e">
        <f t="shared" si="11"/>
        <v>#N/A</v>
      </c>
      <c r="AY30" s="61" t="str">
        <f t="shared" si="12"/>
        <v>-</v>
      </c>
      <c r="AZ30" s="80" t="e">
        <f t="shared" ref="AZ30" si="14">AL30/cv.petrol.hhv.MJL*100</f>
        <v>#N/A</v>
      </c>
      <c r="BA30" s="80"/>
      <c r="BB30" s="80"/>
      <c r="BC30" s="80"/>
      <c r="BD30" s="80"/>
    </row>
    <row r="31" spans="5:56" x14ac:dyDescent="0.25">
      <c r="N31" s="61" t="s">
        <v>573</v>
      </c>
      <c r="O31" s="61" t="s">
        <v>613</v>
      </c>
      <c r="P31" s="61" t="s">
        <v>460</v>
      </c>
      <c r="Q31" s="61" t="str">
        <f t="shared" si="7"/>
        <v>SUV</v>
      </c>
      <c r="R31" s="61" t="s">
        <v>680</v>
      </c>
      <c r="S31" s="65"/>
      <c r="T31" s="273" t="s">
        <v>701</v>
      </c>
      <c r="U31" s="957" t="s">
        <v>680</v>
      </c>
      <c r="V31" s="965"/>
      <c r="W31" s="958">
        <f t="shared" si="8"/>
        <v>0</v>
      </c>
      <c r="X31" s="959">
        <f t="shared" si="6"/>
        <v>0</v>
      </c>
      <c r="Y31" s="959">
        <f t="shared" si="6"/>
        <v>0</v>
      </c>
      <c r="Z31" s="959">
        <f t="shared" si="6"/>
        <v>0</v>
      </c>
      <c r="AA31" s="959">
        <f t="shared" si="6"/>
        <v>0</v>
      </c>
      <c r="AB31" s="959">
        <f t="shared" si="6"/>
        <v>0</v>
      </c>
      <c r="AC31" s="960">
        <f t="shared" si="6"/>
        <v>0</v>
      </c>
      <c r="AD31" s="103" cm="1">
        <f t="array" ref="AD31">IF(W31,INDEX('AEA2012 update'!$K$6:$R$104,MATCH($T31&amp;$R31,'AEA2012 update'!$A$6:$A$104&amp;'AEA2012 update'!$B$6:$B$104,0),MATCH(AD$16,'AEA2012 update'!$S$4:$Z$4,0)),INDEX('AEA2012 update'!$K$6:$R$104,MATCH($T31&amp;$U31,'AEA2012 update'!$A$6:$A$104&amp;'AEA2012 update'!$B$6:$B$104,0),MATCH(AD$16,'AEA2012 update'!$S$4:$Z$4,0)))</f>
        <v>322554.53757929691</v>
      </c>
      <c r="AE31" s="103" cm="1">
        <f t="array" ref="AE31">IF(X31,INDEX('AEA2012 update'!$K$6:$R$104,MATCH($T31&amp;$R31,'AEA2012 update'!$A$6:$A$104&amp;'AEA2012 update'!$B$6:$B$104,0),MATCH(AE$16,'AEA2012 update'!$S$4:$Z$4,0)),INDEX('AEA2012 update'!$K$6:$R$104,MATCH($T31&amp;$U31,'AEA2012 update'!$A$6:$A$104&amp;'AEA2012 update'!$B$6:$B$104,0),MATCH(AE$16,'AEA2012 update'!$S$4:$Z$4,0)))</f>
        <v>350637.87759734597</v>
      </c>
      <c r="AF31" s="103" cm="1">
        <f t="array" ref="AF31">IF(Y31,INDEX('AEA2012 update'!$K$6:$R$104,MATCH($T31&amp;$R31,'AEA2012 update'!$A$6:$A$104&amp;'AEA2012 update'!$B$6:$B$104,0),MATCH(AF$16,'AEA2012 update'!$S$4:$Z$4,0)),INDEX('AEA2012 update'!$K$6:$R$104,MATCH($T31&amp;$U31,'AEA2012 update'!$A$6:$A$104&amp;'AEA2012 update'!$B$6:$B$104,0),MATCH(AF$16,'AEA2012 update'!$S$4:$Z$4,0)))</f>
        <v>357099.62238446943</v>
      </c>
      <c r="AG31" s="103" cm="1">
        <f t="array" ref="AG31">IF(Z31,INDEX('AEA2012 update'!$K$6:$R$104,MATCH($T31&amp;$R31,'AEA2012 update'!$A$6:$A$104&amp;'AEA2012 update'!$B$6:$B$104,0),MATCH(AG$16,'AEA2012 update'!$S$4:$Z$4,0)),INDEX('AEA2012 update'!$K$6:$R$104,MATCH($T31&amp;$U31,'AEA2012 update'!$A$6:$A$104&amp;'AEA2012 update'!$B$6:$B$104,0),MATCH(AG$16,'AEA2012 update'!$S$4:$Z$4,0)))</f>
        <v>363561.36717159278</v>
      </c>
      <c r="AH31" s="103" cm="1">
        <f t="array" ref="AH31">IF(AA31,INDEX('AEA2012 update'!$K$6:$R$104,MATCH($T31&amp;$R31,'AEA2012 update'!$A$6:$A$104&amp;'AEA2012 update'!$B$6:$B$104,0),MATCH(AH$16,'AEA2012 update'!$S$4:$Z$4,0)),INDEX('AEA2012 update'!$K$6:$R$104,MATCH($T31&amp;$U31,'AEA2012 update'!$A$6:$A$104&amp;'AEA2012 update'!$B$6:$B$104,0),MATCH(AH$16,'AEA2012 update'!$S$4:$Z$4,0)))</f>
        <v>371500.85823323019</v>
      </c>
      <c r="AI31" s="103" cm="1">
        <f t="array" ref="AI31">IF(AB31,INDEX('AEA2012 update'!$K$6:$R$104,MATCH($T31&amp;$R31,'AEA2012 update'!$A$6:$A$104&amp;'AEA2012 update'!$B$6:$B$104,0),MATCH(AI$16,'AEA2012 update'!$S$4:$Z$4,0)),INDEX('AEA2012 update'!$K$6:$R$104,MATCH($T31&amp;$U31,'AEA2012 update'!$A$6:$A$104&amp;'AEA2012 update'!$B$6:$B$104,0),MATCH(AI$16,'AEA2012 update'!$S$4:$Z$4,0)))</f>
        <v>379440.3492948676</v>
      </c>
      <c r="AJ31" s="103" cm="1">
        <f t="array" ref="AJ31">IF(AC31,INDEX('AEA2012 update'!$K$6:$R$104,MATCH($T31&amp;$R31,'AEA2012 update'!$A$6:$A$104&amp;'AEA2012 update'!$B$6:$B$104,0),MATCH(AJ$16,'AEA2012 update'!$S$4:$Z$4,0)),INDEX('AEA2012 update'!$K$6:$R$104,MATCH($T31&amp;$U31,'AEA2012 update'!$A$6:$A$104&amp;'AEA2012 update'!$B$6:$B$104,0),MATCH(AJ$16,'AEA2012 update'!$S$4:$Z$4,0)))</f>
        <v>387396.22422821133</v>
      </c>
      <c r="AK31" s="103" t="str">
        <f t="shared" si="13"/>
        <v>SUVOGS</v>
      </c>
      <c r="AL31" s="67">
        <f>1/INDEX(Analytica!$AA$17:$AE$48,MATCH($AK31,Analytica!$A$17:$A$48,0),MATCH(AL$16,Analytica!$AA$16:$AE$16,0))</f>
        <v>2.3386728682586129</v>
      </c>
      <c r="AM31" s="67">
        <f t="array" ref="AM31">IF($AE$1,AL31*(1+INDEX(AM$1:AM$2,MATCH($O31,$AI$1:$AI$2,0)))^(AM$16-AL$16),INDEX('AEA2012 update'!$AC$6:$AG$104,MATCH($T31&amp;$U31,'AEA2012 update'!$A$6:$A$104&amp;'AEA2012 update'!$B$6:$B$104,0),MATCH(AM$16,'AEA2012 update'!$AC$4:$AG$4,0)))</f>
        <v>2.3037678833657447</v>
      </c>
      <c r="AN31" s="67">
        <f t="array" ref="AN31">IF($AE$1,AM31*(1+INDEX(AN$1:AN$2,MATCH($O31,$AI$1:$AI$2,0)))^(AN$16-AM$16),INDEX('AEA2012 update'!$AC$6:$AG$104,MATCH($T31&amp;$U31,'AEA2012 update'!$A$6:$A$104&amp;'AEA2012 update'!$B$6:$B$104,0),MATCH(AN$16,'AEA2012 update'!$AC$4:$AG$4,0)))</f>
        <v>2.136701593373783</v>
      </c>
      <c r="AO31" s="67">
        <f t="array" ref="AO31">IF($AE$1,AN31*(1+INDEX(AO$1:AO$2,MATCH($O31,$AI$1:$AI$2,0)))^(AO$16-AN$16),INDEX('AEA2012 update'!$AC$6:$AG$104,MATCH($T31&amp;$U31,'AEA2012 update'!$A$6:$A$104&amp;'AEA2012 update'!$B$6:$B$104,0),MATCH(AO$16,'AEA2012 update'!$AC$4:$AG$4,0)))</f>
        <v>1.9323946206900002</v>
      </c>
      <c r="AP31" s="67">
        <f t="array" ref="AP31">IF($AE$1,AO31*(1+INDEX(AP$1:AP$2,MATCH($O31,$AI$1:$AI$2,0)))^(AP$16-AO$16),INDEX('AEA2012 update'!$AC$6:$AG$104,MATCH($T31&amp;$U31,'AEA2012 update'!$A$6:$A$104&amp;'AEA2012 update'!$B$6:$B$104,0),MATCH(AP$16,'AEA2012 update'!$AC$4:$AG$4,0)))</f>
        <v>1.7476230567954738</v>
      </c>
      <c r="AQ31" s="67"/>
      <c r="AR31" s="274">
        <f t="shared" si="10"/>
        <v>-4.9750416666666476E-3</v>
      </c>
      <c r="AS31" s="274">
        <f t="shared" si="11"/>
        <v>-8.0468874575123969E-3</v>
      </c>
      <c r="AY31" s="61" t="str">
        <f t="shared" si="12"/>
        <v>SUV-OGS</v>
      </c>
      <c r="AZ31" s="80" t="e" cm="1">
        <f t="array" aca="1" ref="AZ31" ca="1">AL31/INDIRECT("cv."&amp;LEFT($U31,6)&amp;".hhv.MJL") * 100</f>
        <v>#REF!</v>
      </c>
      <c r="BA31" s="80" t="e" cm="1">
        <f t="array" aca="1" ref="BA31" ca="1">AM31/INDIRECT("cv."&amp;LEFT($U31,6)&amp;".hhv.MJL") * 100</f>
        <v>#REF!</v>
      </c>
      <c r="BB31" s="80" t="e" cm="1">
        <f t="array" aca="1" ref="BB31" ca="1">AN31/INDIRECT("cv."&amp;LEFT($U31,6)&amp;".hhv.MJL") * 100</f>
        <v>#REF!</v>
      </c>
      <c r="BC31" s="80" t="e" cm="1">
        <f t="array" aca="1" ref="BC31" ca="1">AO31/INDIRECT("cv."&amp;LEFT($U31,6)&amp;".hhv.MJL") * 100</f>
        <v>#REF!</v>
      </c>
      <c r="BD31" s="80" t="e" cm="1">
        <f t="array" aca="1" ref="BD31" ca="1">AP31/INDIRECT("cv."&amp;LEFT($U31,6)&amp;".hhv.MJL") * 100</f>
        <v>#REF!</v>
      </c>
    </row>
    <row r="32" spans="5:56" x14ac:dyDescent="0.25">
      <c r="N32" s="61" t="s">
        <v>519</v>
      </c>
      <c r="O32" s="61" t="s">
        <v>613</v>
      </c>
      <c r="P32" s="61" t="s">
        <v>460</v>
      </c>
      <c r="Q32" s="61" t="str">
        <f t="shared" si="7"/>
        <v>SUV</v>
      </c>
      <c r="R32" s="61" t="s">
        <v>680</v>
      </c>
      <c r="S32" s="65"/>
      <c r="T32" s="273" t="s">
        <v>701</v>
      </c>
      <c r="U32" s="957" t="s">
        <v>688</v>
      </c>
      <c r="V32" s="965">
        <v>2035</v>
      </c>
      <c r="W32" s="958">
        <f t="shared" si="8"/>
        <v>0</v>
      </c>
      <c r="X32" s="959">
        <f t="shared" si="6"/>
        <v>0</v>
      </c>
      <c r="Y32" s="959">
        <f t="shared" si="6"/>
        <v>0</v>
      </c>
      <c r="Z32" s="959">
        <f t="shared" si="6"/>
        <v>0</v>
      </c>
      <c r="AA32" s="959">
        <f t="shared" si="6"/>
        <v>1</v>
      </c>
      <c r="AB32" s="959">
        <f t="shared" si="6"/>
        <v>1</v>
      </c>
      <c r="AC32" s="960">
        <f t="shared" si="6"/>
        <v>1</v>
      </c>
      <c r="AD32" s="103" cm="1">
        <f t="array" ref="AD32">IF(W32,INDEX('AEA2012 update'!$K$6:$R$104,MATCH($T32&amp;$R32,'AEA2012 update'!$A$6:$A$104&amp;'AEA2012 update'!$B$6:$B$104,0),MATCH(AD$16,'AEA2012 update'!$S$4:$Z$4,0)),INDEX('AEA2012 update'!$K$6:$R$104,MATCH($T32&amp;$U32,'AEA2012 update'!$A$6:$A$104&amp;'AEA2012 update'!$B$6:$B$104,0),MATCH(AD$16,'AEA2012 update'!$S$4:$Z$4,0)))</f>
        <v>456466.29787467641</v>
      </c>
      <c r="AE32" s="103" cm="1">
        <f t="array" ref="AE32">IF(X32,INDEX('AEA2012 update'!$K$6:$R$104,MATCH($T32&amp;$R32,'AEA2012 update'!$A$6:$A$104&amp;'AEA2012 update'!$B$6:$B$104,0),MATCH(AE$16,'AEA2012 update'!$S$4:$Z$4,0)),INDEX('AEA2012 update'!$K$6:$R$104,MATCH($T32&amp;$U32,'AEA2012 update'!$A$6:$A$104&amp;'AEA2012 update'!$B$6:$B$104,0),MATCH(AE$16,'AEA2012 update'!$S$4:$Z$4,0)))</f>
        <v>444711.45451370708</v>
      </c>
      <c r="AF32" s="103" cm="1">
        <f t="array" ref="AF32">IF(Y32,INDEX('AEA2012 update'!$K$6:$R$104,MATCH($T32&amp;$R32,'AEA2012 update'!$A$6:$A$104&amp;'AEA2012 update'!$B$6:$B$104,0),MATCH(AF$16,'AEA2012 update'!$S$4:$Z$4,0)),INDEX('AEA2012 update'!$K$6:$R$104,MATCH($T32&amp;$U32,'AEA2012 update'!$A$6:$A$104&amp;'AEA2012 update'!$B$6:$B$104,0),MATCH(AF$16,'AEA2012 update'!$S$4:$Z$4,0)))</f>
        <v>441886.43413290184</v>
      </c>
      <c r="AG32" s="103" cm="1">
        <f t="array" ref="AG32">IF(Z32,INDEX('AEA2012 update'!$K$6:$R$104,MATCH($T32&amp;$R32,'AEA2012 update'!$A$6:$A$104&amp;'AEA2012 update'!$B$6:$B$104,0),MATCH(AG$16,'AEA2012 update'!$S$4:$Z$4,0)),INDEX('AEA2012 update'!$K$6:$R$104,MATCH($T32&amp;$U32,'AEA2012 update'!$A$6:$A$104&amp;'AEA2012 update'!$B$6:$B$104,0),MATCH(AG$16,'AEA2012 update'!$S$4:$Z$4,0)))</f>
        <v>439061.41375209665</v>
      </c>
      <c r="AH32" s="103" cm="1">
        <f t="array" ref="AH32">IF(AA32,INDEX('AEA2012 update'!$K$6:$R$104,MATCH($T32&amp;$R32,'AEA2012 update'!$A$6:$A$104&amp;'AEA2012 update'!$B$6:$B$104,0),MATCH(AH$16,'AEA2012 update'!$S$4:$Z$4,0)),INDEX('AEA2012 update'!$K$6:$R$104,MATCH($T32&amp;$U32,'AEA2012 update'!$A$6:$A$104&amp;'AEA2012 update'!$B$6:$B$104,0),MATCH(AH$16,'AEA2012 update'!$S$4:$Z$4,0)))</f>
        <v>371500.85823323019</v>
      </c>
      <c r="AI32" s="103" cm="1">
        <f t="array" ref="AI32">IF(AB32,INDEX('AEA2012 update'!$K$6:$R$104,MATCH($T32&amp;$R32,'AEA2012 update'!$A$6:$A$104&amp;'AEA2012 update'!$B$6:$B$104,0),MATCH(AI$16,'AEA2012 update'!$S$4:$Z$4,0)),INDEX('AEA2012 update'!$K$6:$R$104,MATCH($T32&amp;$U32,'AEA2012 update'!$A$6:$A$104&amp;'AEA2012 update'!$B$6:$B$104,0),MATCH(AI$16,'AEA2012 update'!$S$4:$Z$4,0)))</f>
        <v>379440.3492948676</v>
      </c>
      <c r="AJ32" s="103" cm="1">
        <f t="array" ref="AJ32">IF(AC32,INDEX('AEA2012 update'!$K$6:$R$104,MATCH($T32&amp;$R32,'AEA2012 update'!$A$6:$A$104&amp;'AEA2012 update'!$B$6:$B$104,0),MATCH(AJ$16,'AEA2012 update'!$S$4:$Z$4,0)),INDEX('AEA2012 update'!$K$6:$R$104,MATCH($T32&amp;$U32,'AEA2012 update'!$A$6:$A$104&amp;'AEA2012 update'!$B$6:$B$104,0),MATCH(AJ$16,'AEA2012 update'!$S$4:$Z$4,0)))</f>
        <v>387396.22422821133</v>
      </c>
      <c r="AK32" s="103" t="str">
        <f t="shared" si="13"/>
        <v>SUVOGSH</v>
      </c>
      <c r="AL32" s="67">
        <f>INDEX('Vehicle data '!$AD$20:$AD$110,MATCH($AK32,'Vehicle data '!$AC$20:$AC$110,0))/INDEX('Vehicle data '!$AD$20:$AD$110,MATCH($AK$31,'Vehicle data '!$AC$20:$AC$110,0))*AL$31</f>
        <v>1.7869690234961555</v>
      </c>
      <c r="AM32" s="67">
        <f t="array" ref="AM32">IF($AE$1,AL32*(1+INDEX(AM$1:AM$2,MATCH($O32,$AI$1:$AI$2,0)))^(AM$16-AL$16),INDEX('AEA2012 update'!$AC$6:$AG$104,MATCH($T32&amp;$U32,'AEA2012 update'!$A$6:$A$104&amp;'AEA2012 update'!$B$6:$B$104,0),MATCH(AM$16,'AEA2012 update'!$AC$4:$AG$4,0)))</f>
        <v>1.7602982874493476</v>
      </c>
      <c r="AN32" s="67">
        <f t="array" ref="AN32">IF($AE$1,AM32*(1+INDEX(AN$1:AN$2,MATCH($O32,$AI$1:$AI$2,0)))^(AN$16-AM$16),INDEX('AEA2012 update'!$AC$6:$AG$104,MATCH($T32&amp;$U32,'AEA2012 update'!$A$6:$A$104&amp;'AEA2012 update'!$B$6:$B$104,0),MATCH(AN$16,'AEA2012 update'!$AC$4:$AG$4,0)))</f>
        <v>1.6326437150044388</v>
      </c>
      <c r="AO32" s="67">
        <f t="array" ref="AO32">IF($AE$1,AN32*(1+INDEX(AO$1:AO$2,MATCH($O32,$AI$1:$AI$2,0)))^(AO$16-AN$16),INDEX('AEA2012 update'!$AC$6:$AG$104,MATCH($T32&amp;$U32,'AEA2012 update'!$A$6:$A$104&amp;'AEA2012 update'!$B$6:$B$104,0),MATCH(AO$16,'AEA2012 update'!$AC$4:$AG$4,0)))</f>
        <v>1.4765337107257972</v>
      </c>
      <c r="AP32" s="67">
        <f t="array" ref="AP32">IF($AE$1,AO32*(1+INDEX(AP$1:AP$2,MATCH($O32,$AI$1:$AI$2,0)))^(AP$16-AO$16),INDEX('AEA2012 update'!$AC$6:$AG$104,MATCH($T32&amp;$U32,'AEA2012 update'!$A$6:$A$104&amp;'AEA2012 update'!$B$6:$B$104,0),MATCH(AP$16,'AEA2012 update'!$AC$4:$AG$4,0)))</f>
        <v>1.3353506211266462</v>
      </c>
      <c r="AQ32" s="67"/>
      <c r="AR32" s="274">
        <f t="shared" si="10"/>
        <v>-4.9750416666666415E-3</v>
      </c>
      <c r="AS32" s="274">
        <f t="shared" si="11"/>
        <v>-8.0468874575124003E-3</v>
      </c>
      <c r="AY32" s="61" t="str">
        <f t="shared" si="12"/>
        <v>SUV-OGSH</v>
      </c>
      <c r="AZ32" s="80" t="e" cm="1">
        <f t="array" aca="1" ref="AZ32" ca="1">AL32/INDIRECT("cv."&amp;LEFT($U32,6)&amp;".hhv.MJL") * 100</f>
        <v>#REF!</v>
      </c>
      <c r="BA32" s="80" t="e" cm="1">
        <f t="array" aca="1" ref="BA32" ca="1">AM32/INDIRECT("cv."&amp;LEFT($U32,6)&amp;".hhv.MJL") * 100</f>
        <v>#REF!</v>
      </c>
      <c r="BB32" s="80" t="e" cm="1">
        <f t="array" aca="1" ref="BB32" ca="1">AN32/INDIRECT("cv."&amp;LEFT($U32,6)&amp;".hhv.MJL") * 100</f>
        <v>#REF!</v>
      </c>
      <c r="BC32" s="80" t="e" cm="1">
        <f t="array" aca="1" ref="BC32" ca="1">AO32/INDIRECT("cv."&amp;LEFT($U32,6)&amp;".hhv.MJL") * 100</f>
        <v>#REF!</v>
      </c>
      <c r="BD32" s="80" t="e" cm="1">
        <f t="array" aca="1" ref="BD32" ca="1">AP32/INDIRECT("cv."&amp;LEFT($U32,6)&amp;".hhv.MJL") * 100</f>
        <v>#REF!</v>
      </c>
    </row>
    <row r="33" spans="1:56" x14ac:dyDescent="0.25">
      <c r="N33" s="61" t="s">
        <v>506</v>
      </c>
      <c r="O33" s="61" t="s">
        <v>613</v>
      </c>
      <c r="P33" s="61" t="s">
        <v>460</v>
      </c>
      <c r="Q33" s="61" t="str">
        <f t="shared" si="7"/>
        <v>SUV</v>
      </c>
      <c r="R33" s="61" t="s">
        <v>680</v>
      </c>
      <c r="S33" s="65"/>
      <c r="T33" s="273" t="s">
        <v>701</v>
      </c>
      <c r="U33" s="957" t="s">
        <v>680</v>
      </c>
      <c r="V33" s="965"/>
      <c r="W33" s="958">
        <f t="shared" si="8"/>
        <v>0</v>
      </c>
      <c r="X33" s="959">
        <f t="shared" si="6"/>
        <v>0</v>
      </c>
      <c r="Y33" s="959">
        <f t="shared" si="6"/>
        <v>0</v>
      </c>
      <c r="Z33" s="959">
        <f t="shared" si="6"/>
        <v>0</v>
      </c>
      <c r="AA33" s="959">
        <f t="shared" si="6"/>
        <v>0</v>
      </c>
      <c r="AB33" s="959">
        <f t="shared" si="6"/>
        <v>0</v>
      </c>
      <c r="AC33" s="960">
        <f t="shared" si="6"/>
        <v>0</v>
      </c>
      <c r="AD33" s="103" cm="1">
        <f t="array" ref="AD33">IF(W33,INDEX('AEA2012 update'!$K$6:$R$104,MATCH($T33&amp;$R33,'AEA2012 update'!$A$6:$A$104&amp;'AEA2012 update'!$B$6:$B$104,0),MATCH(AD$16,'AEA2012 update'!$S$4:$Z$4,0)),INDEX('AEA2012 update'!$K$6:$R$104,MATCH($T33&amp;$U33,'AEA2012 update'!$A$6:$A$104&amp;'AEA2012 update'!$B$6:$B$104,0),MATCH(AD$16,'AEA2012 update'!$S$4:$Z$4,0)))</f>
        <v>322554.53757929691</v>
      </c>
      <c r="AE33" s="103" cm="1">
        <f t="array" ref="AE33">IF(X33,INDEX('AEA2012 update'!$K$6:$R$104,MATCH($T33&amp;$R33,'AEA2012 update'!$A$6:$A$104&amp;'AEA2012 update'!$B$6:$B$104,0),MATCH(AE$16,'AEA2012 update'!$S$4:$Z$4,0)),INDEX('AEA2012 update'!$K$6:$R$104,MATCH($T33&amp;$U33,'AEA2012 update'!$A$6:$A$104&amp;'AEA2012 update'!$B$6:$B$104,0),MATCH(AE$16,'AEA2012 update'!$S$4:$Z$4,0)))</f>
        <v>350637.87759734597</v>
      </c>
      <c r="AF33" s="103" cm="1">
        <f t="array" ref="AF33">IF(Y33,INDEX('AEA2012 update'!$K$6:$R$104,MATCH($T33&amp;$R33,'AEA2012 update'!$A$6:$A$104&amp;'AEA2012 update'!$B$6:$B$104,0),MATCH(AF$16,'AEA2012 update'!$S$4:$Z$4,0)),INDEX('AEA2012 update'!$K$6:$R$104,MATCH($T33&amp;$U33,'AEA2012 update'!$A$6:$A$104&amp;'AEA2012 update'!$B$6:$B$104,0),MATCH(AF$16,'AEA2012 update'!$S$4:$Z$4,0)))</f>
        <v>357099.62238446943</v>
      </c>
      <c r="AG33" s="103" cm="1">
        <f t="array" ref="AG33">IF(Z33,INDEX('AEA2012 update'!$K$6:$R$104,MATCH($T33&amp;$R33,'AEA2012 update'!$A$6:$A$104&amp;'AEA2012 update'!$B$6:$B$104,0),MATCH(AG$16,'AEA2012 update'!$S$4:$Z$4,0)),INDEX('AEA2012 update'!$K$6:$R$104,MATCH($T33&amp;$U33,'AEA2012 update'!$A$6:$A$104&amp;'AEA2012 update'!$B$6:$B$104,0),MATCH(AG$16,'AEA2012 update'!$S$4:$Z$4,0)))</f>
        <v>363561.36717159278</v>
      </c>
      <c r="AH33" s="103" cm="1">
        <f t="array" ref="AH33">IF(AA33,INDEX('AEA2012 update'!$K$6:$R$104,MATCH($T33&amp;$R33,'AEA2012 update'!$A$6:$A$104&amp;'AEA2012 update'!$B$6:$B$104,0),MATCH(AH$16,'AEA2012 update'!$S$4:$Z$4,0)),INDEX('AEA2012 update'!$K$6:$R$104,MATCH($T33&amp;$U33,'AEA2012 update'!$A$6:$A$104&amp;'AEA2012 update'!$B$6:$B$104,0),MATCH(AH$16,'AEA2012 update'!$S$4:$Z$4,0)))</f>
        <v>371500.85823323019</v>
      </c>
      <c r="AI33" s="103" cm="1">
        <f t="array" ref="AI33">IF(AB33,INDEX('AEA2012 update'!$K$6:$R$104,MATCH($T33&amp;$R33,'AEA2012 update'!$A$6:$A$104&amp;'AEA2012 update'!$B$6:$B$104,0),MATCH(AI$16,'AEA2012 update'!$S$4:$Z$4,0)),INDEX('AEA2012 update'!$K$6:$R$104,MATCH($T33&amp;$U33,'AEA2012 update'!$A$6:$A$104&amp;'AEA2012 update'!$B$6:$B$104,0),MATCH(AI$16,'AEA2012 update'!$S$4:$Z$4,0)))</f>
        <v>379440.3492948676</v>
      </c>
      <c r="AJ33" s="103" cm="1">
        <f t="array" ref="AJ33">IF(AC33,INDEX('AEA2012 update'!$K$6:$R$104,MATCH($T33&amp;$R33,'AEA2012 update'!$A$6:$A$104&amp;'AEA2012 update'!$B$6:$B$104,0),MATCH(AJ$16,'AEA2012 update'!$S$4:$Z$4,0)),INDEX('AEA2012 update'!$K$6:$R$104,MATCH($T33&amp;$U33,'AEA2012 update'!$A$6:$A$104&amp;'AEA2012 update'!$B$6:$B$104,0),MATCH(AJ$16,'AEA2012 update'!$S$4:$Z$4,0)))</f>
        <v>387396.22422821133</v>
      </c>
      <c r="AK33" s="103" t="str">
        <f t="shared" si="13"/>
        <v>SUVBGS</v>
      </c>
      <c r="AL33" s="67">
        <f>INDEX('Vehicle data '!$AD$20:$AD$110,MATCH($AK33,'Vehicle data '!$AC$20:$AC$110,0))/INDEX('Vehicle data '!$AD$20:$AD$110,MATCH($AK$31,'Vehicle data '!$AC$20:$AC$110,0))*AL$31</f>
        <v>2.3386728682586129</v>
      </c>
      <c r="AM33" s="67">
        <f t="array" ref="AM33">IF($AE$1,AL33*(1+INDEX(AM$1:AM$2,MATCH($O33,$AI$1:$AI$2,0)))^(AM$16-AL$16),INDEX('AEA2012 update'!$AC$6:$AG$104,MATCH($T33&amp;$U33,'AEA2012 update'!$A$6:$A$104&amp;'AEA2012 update'!$B$6:$B$104,0),MATCH(AM$16,'AEA2012 update'!$AC$4:$AG$4,0)))</f>
        <v>2.3037678833657447</v>
      </c>
      <c r="AN33" s="67">
        <f t="array" ref="AN33">IF($AE$1,AM33*(1+INDEX(AN$1:AN$2,MATCH($O33,$AI$1:$AI$2,0)))^(AN$16-AM$16),INDEX('AEA2012 update'!$AC$6:$AG$104,MATCH($T33&amp;$U33,'AEA2012 update'!$A$6:$A$104&amp;'AEA2012 update'!$B$6:$B$104,0),MATCH(AN$16,'AEA2012 update'!$AC$4:$AG$4,0)))</f>
        <v>2.136701593373783</v>
      </c>
      <c r="AO33" s="67">
        <f t="array" ref="AO33">IF($AE$1,AN33*(1+INDEX(AO$1:AO$2,MATCH($O33,$AI$1:$AI$2,0)))^(AO$16-AN$16),INDEX('AEA2012 update'!$AC$6:$AG$104,MATCH($T33&amp;$U33,'AEA2012 update'!$A$6:$A$104&amp;'AEA2012 update'!$B$6:$B$104,0),MATCH(AO$16,'AEA2012 update'!$AC$4:$AG$4,0)))</f>
        <v>1.9323946206900002</v>
      </c>
      <c r="AP33" s="67">
        <f t="array" ref="AP33">IF($AE$1,AO33*(1+INDEX(AP$1:AP$2,MATCH($O33,$AI$1:$AI$2,0)))^(AP$16-AO$16),INDEX('AEA2012 update'!$AC$6:$AG$104,MATCH($T33&amp;$U33,'AEA2012 update'!$A$6:$A$104&amp;'AEA2012 update'!$B$6:$B$104,0),MATCH(AP$16,'AEA2012 update'!$AC$4:$AG$4,0)))</f>
        <v>1.7476230567954738</v>
      </c>
      <c r="AQ33" s="67"/>
      <c r="AR33" s="274">
        <f t="shared" si="10"/>
        <v>-4.9750416666666476E-3</v>
      </c>
      <c r="AS33" s="274">
        <f t="shared" si="11"/>
        <v>-8.0468874575123969E-3</v>
      </c>
      <c r="AY33" s="61" t="str">
        <f t="shared" si="12"/>
        <v>SUV-BGS</v>
      </c>
      <c r="AZ33" s="80" t="e" cm="1">
        <f t="array" aca="1" ref="AZ33" ca="1">AL33/INDIRECT("cv."&amp;LEFT($U33,6)&amp;".hhv.MJL") * 100</f>
        <v>#REF!</v>
      </c>
      <c r="BA33" s="80" t="e" cm="1">
        <f t="array" aca="1" ref="BA33" ca="1">AM33/INDIRECT("cv."&amp;LEFT($U33,6)&amp;".hhv.MJL") * 100</f>
        <v>#REF!</v>
      </c>
      <c r="BB33" s="80" t="e" cm="1">
        <f t="array" aca="1" ref="BB33" ca="1">AN33/INDIRECT("cv."&amp;LEFT($U33,6)&amp;".hhv.MJL") * 100</f>
        <v>#REF!</v>
      </c>
      <c r="BC33" s="80" t="e" cm="1">
        <f t="array" aca="1" ref="BC33" ca="1">AO33/INDIRECT("cv."&amp;LEFT($U33,6)&amp;".hhv.MJL") * 100</f>
        <v>#REF!</v>
      </c>
      <c r="BD33" s="80" t="e" cm="1">
        <f t="array" aca="1" ref="BD33" ca="1">AP33/INDIRECT("cv."&amp;LEFT($U33,6)&amp;".hhv.MJL") * 100</f>
        <v>#REF!</v>
      </c>
    </row>
    <row r="34" spans="1:56" x14ac:dyDescent="0.25">
      <c r="N34" s="61" t="s">
        <v>511</v>
      </c>
      <c r="O34" s="61" t="s">
        <v>613</v>
      </c>
      <c r="P34" s="61" t="s">
        <v>460</v>
      </c>
      <c r="Q34" s="61" t="str">
        <f t="shared" si="7"/>
        <v>SUV</v>
      </c>
      <c r="R34" s="61" t="s">
        <v>680</v>
      </c>
      <c r="S34" s="65"/>
      <c r="T34" s="273" t="s">
        <v>701</v>
      </c>
      <c r="U34" s="957" t="s">
        <v>687</v>
      </c>
      <c r="V34" s="965">
        <v>2030</v>
      </c>
      <c r="W34" s="958">
        <f t="shared" si="8"/>
        <v>0</v>
      </c>
      <c r="X34" s="959">
        <f t="shared" si="6"/>
        <v>0</v>
      </c>
      <c r="Y34" s="959">
        <f t="shared" si="6"/>
        <v>0</v>
      </c>
      <c r="Z34" s="959">
        <f t="shared" si="6"/>
        <v>1</v>
      </c>
      <c r="AA34" s="959">
        <f t="shared" si="6"/>
        <v>1</v>
      </c>
      <c r="AB34" s="959">
        <f t="shared" si="6"/>
        <v>1</v>
      </c>
      <c r="AC34" s="960">
        <f t="shared" si="6"/>
        <v>1</v>
      </c>
      <c r="AD34" s="103" cm="1">
        <f t="array" ref="AD34">IF(W34,INDEX('AEA2012 update'!$K$6:$R$104,MATCH($T34&amp;$R34,'AEA2012 update'!$A$6:$A$104&amp;'AEA2012 update'!$B$6:$B$104,0),MATCH(AD$16,'AEA2012 update'!$S$4:$Z$4,0)),INDEX('AEA2012 update'!$K$6:$R$104,MATCH($T34&amp;$U34,'AEA2012 update'!$A$6:$A$104&amp;'AEA2012 update'!$B$6:$B$104,0),MATCH(AD$16,'AEA2012 update'!$S$4:$Z$4,0)))</f>
        <v>449299.91329948109</v>
      </c>
      <c r="AE34" s="103" cm="1">
        <f t="array" ref="AE34">IF(X34,INDEX('AEA2012 update'!$K$6:$R$104,MATCH($T34&amp;$R34,'AEA2012 update'!$A$6:$A$104&amp;'AEA2012 update'!$B$6:$B$104,0),MATCH(AE$16,'AEA2012 update'!$S$4:$Z$4,0)),INDEX('AEA2012 update'!$K$6:$R$104,MATCH($T34&amp;$U34,'AEA2012 update'!$A$6:$A$104&amp;'AEA2012 update'!$B$6:$B$104,0),MATCH(AE$16,'AEA2012 update'!$S$4:$Z$4,0)))</f>
        <v>496024.31464990409</v>
      </c>
      <c r="AF34" s="103" cm="1">
        <f t="array" ref="AF34">IF(Y34,INDEX('AEA2012 update'!$K$6:$R$104,MATCH($T34&amp;$R34,'AEA2012 update'!$A$6:$A$104&amp;'AEA2012 update'!$B$6:$B$104,0),MATCH(AF$16,'AEA2012 update'!$S$4:$Z$4,0)),INDEX('AEA2012 update'!$K$6:$R$104,MATCH($T34&amp;$U34,'AEA2012 update'!$A$6:$A$104&amp;'AEA2012 update'!$B$6:$B$104,0),MATCH(AF$16,'AEA2012 update'!$S$4:$Z$4,0)))</f>
        <v>504862.6389695133</v>
      </c>
      <c r="AG34" s="103" cm="1">
        <f t="array" ref="AG34">IF(Z34,INDEX('AEA2012 update'!$K$6:$R$104,MATCH($T34&amp;$R34,'AEA2012 update'!$A$6:$A$104&amp;'AEA2012 update'!$B$6:$B$104,0),MATCH(AG$16,'AEA2012 update'!$S$4:$Z$4,0)),INDEX('AEA2012 update'!$K$6:$R$104,MATCH($T34&amp;$U34,'AEA2012 update'!$A$6:$A$104&amp;'AEA2012 update'!$B$6:$B$104,0),MATCH(AG$16,'AEA2012 update'!$S$4:$Z$4,0)))</f>
        <v>363561.36717159278</v>
      </c>
      <c r="AH34" s="103" cm="1">
        <f t="array" ref="AH34">IF(AA34,INDEX('AEA2012 update'!$K$6:$R$104,MATCH($T34&amp;$R34,'AEA2012 update'!$A$6:$A$104&amp;'AEA2012 update'!$B$6:$B$104,0),MATCH(AH$16,'AEA2012 update'!$S$4:$Z$4,0)),INDEX('AEA2012 update'!$K$6:$R$104,MATCH($T34&amp;$U34,'AEA2012 update'!$A$6:$A$104&amp;'AEA2012 update'!$B$6:$B$104,0),MATCH(AH$16,'AEA2012 update'!$S$4:$Z$4,0)))</f>
        <v>371500.85823323019</v>
      </c>
      <c r="AI34" s="103" cm="1">
        <f t="array" ref="AI34">IF(AB34,INDEX('AEA2012 update'!$K$6:$R$104,MATCH($T34&amp;$R34,'AEA2012 update'!$A$6:$A$104&amp;'AEA2012 update'!$B$6:$B$104,0),MATCH(AI$16,'AEA2012 update'!$S$4:$Z$4,0)),INDEX('AEA2012 update'!$K$6:$R$104,MATCH($T34&amp;$U34,'AEA2012 update'!$A$6:$A$104&amp;'AEA2012 update'!$B$6:$B$104,0),MATCH(AI$16,'AEA2012 update'!$S$4:$Z$4,0)))</f>
        <v>379440.3492948676</v>
      </c>
      <c r="AJ34" s="103" cm="1">
        <f t="array" ref="AJ34">IF(AC34,INDEX('AEA2012 update'!$K$6:$R$104,MATCH($T34&amp;$R34,'AEA2012 update'!$A$6:$A$104&amp;'AEA2012 update'!$B$6:$B$104,0),MATCH(AJ$16,'AEA2012 update'!$S$4:$Z$4,0)),INDEX('AEA2012 update'!$K$6:$R$104,MATCH($T34&amp;$U34,'AEA2012 update'!$A$6:$A$104&amp;'AEA2012 update'!$B$6:$B$104,0),MATCH(AJ$16,'AEA2012 update'!$S$4:$Z$4,0)))</f>
        <v>387396.22422821133</v>
      </c>
      <c r="AK34" s="103" t="str">
        <f t="shared" si="13"/>
        <v>SUVODS</v>
      </c>
      <c r="AL34" s="67">
        <f>1/INDEX(Analytica!$AA$17:$AE$48,MATCH($AK34,Analytica!$A$17:$A$48,0),MATCH(AL$16,Analytica!$AA$16:$AE$16,0))</f>
        <v>4.2907876409062018</v>
      </c>
      <c r="AM34" s="67">
        <f t="array" ref="AM34">IF($AE$1,AL34*(1+INDEX(AM$1:AM$2,MATCH($O34,$AI$1:$AI$2,0)))^(AM$16-AL$16),INDEX('AEA2012 update'!$AC$6:$AG$104,MATCH($T34&amp;$U34,'AEA2012 update'!$A$6:$A$104&amp;'AEA2012 update'!$B$6:$B$104,0),MATCH(AM$16,'AEA2012 update'!$AC$4:$AG$4,0)))</f>
        <v>4.2267470990172216</v>
      </c>
      <c r="AN34" s="67">
        <f t="array" ref="AN34">IF($AE$1,AM34*(1+INDEX(AN$1:AN$2,MATCH($O34,$AI$1:$AI$2,0)))^(AN$16-AM$16),INDEX('AEA2012 update'!$AC$6:$AG$104,MATCH($T34&amp;$U34,'AEA2012 update'!$A$6:$A$104&amp;'AEA2012 update'!$B$6:$B$104,0),MATCH(AN$16,'AEA2012 update'!$AC$4:$AG$4,0)))</f>
        <v>3.9202288244697736</v>
      </c>
      <c r="AO34" s="67">
        <f t="array" ref="AO34">IF($AE$1,AN34*(1+INDEX(AO$1:AO$2,MATCH($O34,$AI$1:$AI$2,0)))^(AO$16-AN$16),INDEX('AEA2012 update'!$AC$6:$AG$104,MATCH($T34&amp;$U34,'AEA2012 update'!$A$6:$A$104&amp;'AEA2012 update'!$B$6:$B$104,0),MATCH(AO$16,'AEA2012 update'!$AC$4:$AG$4,0)))</f>
        <v>3.5453846787832997</v>
      </c>
      <c r="AP34" s="67">
        <f t="array" ref="AP34">IF($AE$1,AO34*(1+INDEX(AP$1:AP$2,MATCH($O34,$AI$1:$AI$2,0)))^(AP$16-AO$16),INDEX('AEA2012 update'!$AC$6:$AG$104,MATCH($T34&amp;$U34,'AEA2012 update'!$A$6:$A$104&amp;'AEA2012 update'!$B$6:$B$104,0),MATCH(AP$16,'AEA2012 update'!$AC$4:$AG$4,0)))</f>
        <v>3.2063823525024637</v>
      </c>
      <c r="AQ34" s="67"/>
      <c r="AR34" s="274">
        <f t="shared" si="10"/>
        <v>-4.975041666666671E-3</v>
      </c>
      <c r="AS34" s="274">
        <f t="shared" si="11"/>
        <v>-8.0468874575123986E-3</v>
      </c>
      <c r="AY34" s="61" t="str">
        <f t="shared" si="12"/>
        <v>SUV-ODS</v>
      </c>
      <c r="AZ34" s="80" t="e" cm="1">
        <f t="array" aca="1" ref="AZ34" ca="1">AL34/INDIRECT("cv."&amp;LEFT($U34,6)&amp;".hhv.MJL") * 100</f>
        <v>#REF!</v>
      </c>
      <c r="BA34" s="80" t="e" cm="1">
        <f t="array" aca="1" ref="BA34" ca="1">AM34/INDIRECT("cv."&amp;LEFT($U34,6)&amp;".hhv.MJL") * 100</f>
        <v>#REF!</v>
      </c>
      <c r="BB34" s="80" t="e" cm="1">
        <f t="array" aca="1" ref="BB34" ca="1">AN34/INDIRECT("cv."&amp;LEFT($U34,6)&amp;".hhv.MJL") * 100</f>
        <v>#REF!</v>
      </c>
      <c r="BC34" s="80" t="e" cm="1">
        <f t="array" aca="1" ref="BC34" ca="1">AO34/INDIRECT("cv."&amp;LEFT($U34,6)&amp;".hhv.MJL") * 100</f>
        <v>#REF!</v>
      </c>
      <c r="BD34" s="80" t="e" cm="1">
        <f t="array" aca="1" ref="BD34" ca="1">AP34/INDIRECT("cv."&amp;LEFT($U34,6)&amp;".hhv.MJL") * 100</f>
        <v>#REF!</v>
      </c>
    </row>
    <row r="35" spans="1:56" x14ac:dyDescent="0.25">
      <c r="J35" s="272"/>
      <c r="N35" s="61" t="s">
        <v>521</v>
      </c>
      <c r="O35" s="61" t="s">
        <v>613</v>
      </c>
      <c r="P35" s="61" t="s">
        <v>460</v>
      </c>
      <c r="Q35" s="61" t="str">
        <f t="shared" si="7"/>
        <v>SUV</v>
      </c>
      <c r="R35" s="61" t="s">
        <v>680</v>
      </c>
      <c r="S35" s="65"/>
      <c r="T35" s="273" t="s">
        <v>701</v>
      </c>
      <c r="U35" s="957" t="s">
        <v>689</v>
      </c>
      <c r="V35" s="965">
        <v>2035</v>
      </c>
      <c r="W35" s="958">
        <f t="shared" si="8"/>
        <v>0</v>
      </c>
      <c r="X35" s="959">
        <f t="shared" si="6"/>
        <v>0</v>
      </c>
      <c r="Y35" s="959">
        <f t="shared" si="6"/>
        <v>0</v>
      </c>
      <c r="Z35" s="959">
        <f t="shared" si="6"/>
        <v>0</v>
      </c>
      <c r="AA35" s="959">
        <f t="shared" si="6"/>
        <v>1</v>
      </c>
      <c r="AB35" s="959">
        <f t="shared" si="6"/>
        <v>1</v>
      </c>
      <c r="AC35" s="960">
        <f t="shared" si="6"/>
        <v>1</v>
      </c>
      <c r="AD35" s="103" cm="1">
        <f t="array" ref="AD35">IF(W35,INDEX('AEA2012 update'!$K$6:$R$104,MATCH($T35&amp;$R35,'AEA2012 update'!$A$6:$A$104&amp;'AEA2012 update'!$B$6:$B$104,0),MATCH(AD$16,'AEA2012 update'!$S$4:$Z$4,0)),INDEX('AEA2012 update'!$K$6:$R$104,MATCH($T35&amp;$U35,'AEA2012 update'!$A$6:$A$104&amp;'AEA2012 update'!$B$6:$B$104,0),MATCH(AD$16,'AEA2012 update'!$S$4:$Z$4,0)))</f>
        <v>675869.74111494585</v>
      </c>
      <c r="AE35" s="103" cm="1">
        <f t="array" ref="AE35">IF(X35,INDEX('AEA2012 update'!$K$6:$R$104,MATCH($T35&amp;$R35,'AEA2012 update'!$A$6:$A$104&amp;'AEA2012 update'!$B$6:$B$104,0),MATCH(AE$16,'AEA2012 update'!$S$4:$Z$4,0)),INDEX('AEA2012 update'!$K$6:$R$104,MATCH($T35&amp;$U35,'AEA2012 update'!$A$6:$A$104&amp;'AEA2012 update'!$B$6:$B$104,0),MATCH(AE$16,'AEA2012 update'!$S$4:$Z$4,0)))</f>
        <v>667067.18177056045</v>
      </c>
      <c r="AF35" s="103" cm="1">
        <f t="array" ref="AF35">IF(Y35,INDEX('AEA2012 update'!$K$6:$R$104,MATCH($T35&amp;$R35,'AEA2012 update'!$A$6:$A$104&amp;'AEA2012 update'!$B$6:$B$104,0),MATCH(AF$16,'AEA2012 update'!$S$4:$Z$4,0)),INDEX('AEA2012 update'!$K$6:$R$104,MATCH($T35&amp;$U35,'AEA2012 update'!$A$6:$A$104&amp;'AEA2012 update'!$B$6:$B$104,0),MATCH(AF$16,'AEA2012 update'!$S$4:$Z$4,0)))</f>
        <v>662584.61022237549</v>
      </c>
      <c r="AG35" s="103" cm="1">
        <f t="array" ref="AG35">IF(Z35,INDEX('AEA2012 update'!$K$6:$R$104,MATCH($T35&amp;$R35,'AEA2012 update'!$A$6:$A$104&amp;'AEA2012 update'!$B$6:$B$104,0),MATCH(AG$16,'AEA2012 update'!$S$4:$Z$4,0)),INDEX('AEA2012 update'!$K$6:$R$104,MATCH($T35&amp;$U35,'AEA2012 update'!$A$6:$A$104&amp;'AEA2012 update'!$B$6:$B$104,0),MATCH(AG$16,'AEA2012 update'!$S$4:$Z$4,0)))</f>
        <v>658102.03867419052</v>
      </c>
      <c r="AH35" s="103" cm="1">
        <f t="array" ref="AH35">IF(AA35,INDEX('AEA2012 update'!$K$6:$R$104,MATCH($T35&amp;$R35,'AEA2012 update'!$A$6:$A$104&amp;'AEA2012 update'!$B$6:$B$104,0),MATCH(AH$16,'AEA2012 update'!$S$4:$Z$4,0)),INDEX('AEA2012 update'!$K$6:$R$104,MATCH($T35&amp;$U35,'AEA2012 update'!$A$6:$A$104&amp;'AEA2012 update'!$B$6:$B$104,0),MATCH(AH$16,'AEA2012 update'!$S$4:$Z$4,0)))</f>
        <v>371500.85823323019</v>
      </c>
      <c r="AI35" s="103" cm="1">
        <f t="array" ref="AI35">IF(AB35,INDEX('AEA2012 update'!$K$6:$R$104,MATCH($T35&amp;$R35,'AEA2012 update'!$A$6:$A$104&amp;'AEA2012 update'!$B$6:$B$104,0),MATCH(AI$16,'AEA2012 update'!$S$4:$Z$4,0)),INDEX('AEA2012 update'!$K$6:$R$104,MATCH($T35&amp;$U35,'AEA2012 update'!$A$6:$A$104&amp;'AEA2012 update'!$B$6:$B$104,0),MATCH(AI$16,'AEA2012 update'!$S$4:$Z$4,0)))</f>
        <v>379440.3492948676</v>
      </c>
      <c r="AJ35" s="103" cm="1">
        <f t="array" ref="AJ35">IF(AC35,INDEX('AEA2012 update'!$K$6:$R$104,MATCH($T35&amp;$R35,'AEA2012 update'!$A$6:$A$104&amp;'AEA2012 update'!$B$6:$B$104,0),MATCH(AJ$16,'AEA2012 update'!$S$4:$Z$4,0)),INDEX('AEA2012 update'!$K$6:$R$104,MATCH($T35&amp;$U35,'AEA2012 update'!$A$6:$A$104&amp;'AEA2012 update'!$B$6:$B$104,0),MATCH(AJ$16,'AEA2012 update'!$S$4:$Z$4,0)))</f>
        <v>387396.22422821133</v>
      </c>
      <c r="AK35" s="103" t="str">
        <f t="shared" si="13"/>
        <v>SUVODSH</v>
      </c>
      <c r="AL35" s="67">
        <f>INDEX('Vehicle data '!$AD$20:$AD$110,MATCH($AK35,'Vehicle data '!$AC$20:$AC$110,0))/INDEX('Vehicle data '!$AD$20:$AD$110,MATCH($AK$31,'Vehicle data '!$AC$20:$AC$110,0))*AL$31</f>
        <v>1.9933719332103677</v>
      </c>
      <c r="AM35" s="67">
        <f t="array" ref="AM35">IF($AE$1,AL35*(1+INDEX(AM$1:AM$2,MATCH($O35,$AI$1:$AI$2,0)))^(AM$16-AL$16),INDEX('AEA2012 update'!$AC$6:$AG$104,MATCH($T35&amp;$U35,'AEA2012 update'!$A$6:$A$104&amp;'AEA2012 update'!$B$6:$B$104,0),MATCH(AM$16,'AEA2012 update'!$AC$4:$AG$4,0)))</f>
        <v>1.9636206079357112</v>
      </c>
      <c r="AN35" s="67">
        <f t="array" ref="AN35">IF($AE$1,AM35*(1+INDEX(AN$1:AN$2,MATCH($O35,$AI$1:$AI$2,0)))^(AN$16-AM$16),INDEX('AEA2012 update'!$AC$6:$AG$104,MATCH($T35&amp;$U35,'AEA2012 update'!$A$6:$A$104&amp;'AEA2012 update'!$B$6:$B$104,0),MATCH(AN$16,'AEA2012 update'!$AC$4:$AG$4,0)))</f>
        <v>1.8212213617754165</v>
      </c>
      <c r="AO35" s="67">
        <f t="array" ref="AO35">IF($AE$1,AN35*(1+INDEX(AO$1:AO$2,MATCH($O35,$AI$1:$AI$2,0)))^(AO$16-AN$16),INDEX('AEA2012 update'!$AC$6:$AG$104,MATCH($T35&amp;$U35,'AEA2012 update'!$A$6:$A$104&amp;'AEA2012 update'!$B$6:$B$104,0),MATCH(AO$16,'AEA2012 update'!$AC$4:$AG$4,0)))</f>
        <v>1.6470799542128114</v>
      </c>
      <c r="AP35" s="67">
        <f t="array" ref="AP35">IF($AE$1,AO35*(1+INDEX(AP$1:AP$2,MATCH($O35,$AI$1:$AI$2,0)))^(AP$16-AO$16),INDEX('AEA2012 update'!$AC$6:$AG$104,MATCH($T35&amp;$U35,'AEA2012 update'!$A$6:$A$104&amp;'AEA2012 update'!$B$6:$B$104,0),MATCH(AP$16,'AEA2012 update'!$AC$4:$AG$4,0)))</f>
        <v>1.4895895866963886</v>
      </c>
      <c r="AQ35" s="67"/>
      <c r="AR35" s="274">
        <f t="shared" si="10"/>
        <v>-4.9750416666666693E-3</v>
      </c>
      <c r="AS35" s="274">
        <f t="shared" si="11"/>
        <v>-8.0468874575124038E-3</v>
      </c>
      <c r="AY35" s="61" t="str">
        <f t="shared" si="12"/>
        <v>SUV-ODSH</v>
      </c>
      <c r="AZ35" s="80" t="e" cm="1">
        <f t="array" aca="1" ref="AZ35" ca="1">AL35/INDIRECT("cv."&amp;LEFT($U35,6)&amp;".hhv.MJL") * 100</f>
        <v>#REF!</v>
      </c>
      <c r="BA35" s="80" t="e" cm="1">
        <f t="array" aca="1" ref="BA35" ca="1">AM35/INDIRECT("cv."&amp;LEFT($U35,6)&amp;".hhv.MJL") * 100</f>
        <v>#REF!</v>
      </c>
      <c r="BB35" s="80" t="e" cm="1">
        <f t="array" aca="1" ref="BB35" ca="1">AN35/INDIRECT("cv."&amp;LEFT($U35,6)&amp;".hhv.MJL") * 100</f>
        <v>#REF!</v>
      </c>
      <c r="BC35" s="80" t="e" cm="1">
        <f t="array" aca="1" ref="BC35" ca="1">AO35/INDIRECT("cv."&amp;LEFT($U35,6)&amp;".hhv.MJL") * 100</f>
        <v>#REF!</v>
      </c>
      <c r="BD35" s="80" t="e" cm="1">
        <f t="array" aca="1" ref="BD35" ca="1">AP35/INDIRECT("cv."&amp;LEFT($U35,6)&amp;".hhv.MJL") * 100</f>
        <v>#REF!</v>
      </c>
    </row>
    <row r="36" spans="1:56" x14ac:dyDescent="0.25">
      <c r="N36" s="61" t="s">
        <v>501</v>
      </c>
      <c r="O36" s="61" t="s">
        <v>613</v>
      </c>
      <c r="P36" s="61" t="s">
        <v>460</v>
      </c>
      <c r="Q36" s="61" t="str">
        <f t="shared" si="7"/>
        <v>SUV</v>
      </c>
      <c r="R36" s="61" t="s">
        <v>680</v>
      </c>
      <c r="S36" s="65"/>
      <c r="T36" s="273" t="s">
        <v>701</v>
      </c>
      <c r="U36" s="957" t="s">
        <v>692</v>
      </c>
      <c r="V36" s="965">
        <v>2040</v>
      </c>
      <c r="W36" s="958">
        <f t="shared" si="8"/>
        <v>0</v>
      </c>
      <c r="X36" s="959">
        <f t="shared" si="8"/>
        <v>0</v>
      </c>
      <c r="Y36" s="959">
        <f t="shared" si="8"/>
        <v>0</v>
      </c>
      <c r="Z36" s="959">
        <f t="shared" si="8"/>
        <v>0</v>
      </c>
      <c r="AA36" s="959">
        <f t="shared" si="8"/>
        <v>0</v>
      </c>
      <c r="AB36" s="959">
        <f t="shared" si="8"/>
        <v>1</v>
      </c>
      <c r="AC36" s="960">
        <f t="shared" si="8"/>
        <v>1</v>
      </c>
      <c r="AD36" s="103" cm="1">
        <f t="array" ref="AD36">IF(W36,INDEX('AEA2012 update'!$K$6:$R$104,MATCH($T36&amp;$R36,'AEA2012 update'!$A$6:$A$104&amp;'AEA2012 update'!$B$6:$B$104,0),MATCH(AD$16,'AEA2012 update'!$S$4:$Z$4,0)),INDEX('AEA2012 update'!$K$6:$R$104,MATCH($T36&amp;$U36,'AEA2012 update'!$A$6:$A$104&amp;'AEA2012 update'!$B$6:$B$104,0),MATCH(AD$16,'AEA2012 update'!$S$4:$Z$4,0)))</f>
        <v>1600432.9336289039</v>
      </c>
      <c r="AE36" s="103" cm="1">
        <f t="array" ref="AE36">IF(X36,INDEX('AEA2012 update'!$K$6:$R$104,MATCH($T36&amp;$R36,'AEA2012 update'!$A$6:$A$104&amp;'AEA2012 update'!$B$6:$B$104,0),MATCH(AE$16,'AEA2012 update'!$S$4:$Z$4,0)),INDEX('AEA2012 update'!$K$6:$R$104,MATCH($T36&amp;$U36,'AEA2012 update'!$A$6:$A$104&amp;'AEA2012 update'!$B$6:$B$104,0),MATCH(AE$16,'AEA2012 update'!$S$4:$Z$4,0)))</f>
        <v>1094588.8281386418</v>
      </c>
      <c r="AF36" s="103" cm="1">
        <f t="array" ref="AF36">IF(Y36,INDEX('AEA2012 update'!$K$6:$R$104,MATCH($T36&amp;$R36,'AEA2012 update'!$A$6:$A$104&amp;'AEA2012 update'!$B$6:$B$104,0),MATCH(AF$16,'AEA2012 update'!$S$4:$Z$4,0)),INDEX('AEA2012 update'!$K$6:$R$104,MATCH($T36&amp;$U36,'AEA2012 update'!$A$6:$A$104&amp;'AEA2012 update'!$B$6:$B$104,0),MATCH(AF$16,'AEA2012 update'!$S$4:$Z$4,0)))</f>
        <v>1007085.3648438302</v>
      </c>
      <c r="AG36" s="103" cm="1">
        <f t="array" ref="AG36">IF(Z36,INDEX('AEA2012 update'!$K$6:$R$104,MATCH($T36&amp;$R36,'AEA2012 update'!$A$6:$A$104&amp;'AEA2012 update'!$B$6:$B$104,0),MATCH(AG$16,'AEA2012 update'!$S$4:$Z$4,0)),INDEX('AEA2012 update'!$K$6:$R$104,MATCH($T36&amp;$U36,'AEA2012 update'!$A$6:$A$104&amp;'AEA2012 update'!$B$6:$B$104,0),MATCH(AG$16,'AEA2012 update'!$S$4:$Z$4,0)))</f>
        <v>919581.90154901845</v>
      </c>
      <c r="AH36" s="103" cm="1">
        <f t="array" ref="AH36">IF(AA36,INDEX('AEA2012 update'!$K$6:$R$104,MATCH($T36&amp;$R36,'AEA2012 update'!$A$6:$A$104&amp;'AEA2012 update'!$B$6:$B$104,0),MATCH(AH$16,'AEA2012 update'!$S$4:$Z$4,0)),INDEX('AEA2012 update'!$K$6:$R$104,MATCH($T36&amp;$U36,'AEA2012 update'!$A$6:$A$104&amp;'AEA2012 update'!$B$6:$B$104,0),MATCH(AH$16,'AEA2012 update'!$S$4:$Z$4,0)))</f>
        <v>928701.46574433532</v>
      </c>
      <c r="AI36" s="103" cm="1">
        <f t="array" ref="AI36">IF(AB36,INDEX('AEA2012 update'!$K$6:$R$104,MATCH($T36&amp;$R36,'AEA2012 update'!$A$6:$A$104&amp;'AEA2012 update'!$B$6:$B$104,0),MATCH(AI$16,'AEA2012 update'!$S$4:$Z$4,0)),INDEX('AEA2012 update'!$K$6:$R$104,MATCH($T36&amp;$U36,'AEA2012 update'!$A$6:$A$104&amp;'AEA2012 update'!$B$6:$B$104,0),MATCH(AI$16,'AEA2012 update'!$S$4:$Z$4,0)))</f>
        <v>379440.3492948676</v>
      </c>
      <c r="AJ36" s="103" cm="1">
        <f t="array" ref="AJ36">IF(AC36,INDEX('AEA2012 update'!$K$6:$R$104,MATCH($T36&amp;$R36,'AEA2012 update'!$A$6:$A$104&amp;'AEA2012 update'!$B$6:$B$104,0),MATCH(AJ$16,'AEA2012 update'!$S$4:$Z$4,0)),INDEX('AEA2012 update'!$K$6:$R$104,MATCH($T36&amp;$U36,'AEA2012 update'!$A$6:$A$104&amp;'AEA2012 update'!$B$6:$B$104,0),MATCH(AJ$16,'AEA2012 update'!$S$4:$Z$4,0)))</f>
        <v>387396.22422821133</v>
      </c>
      <c r="AK36" s="103" t="str">
        <f t="shared" si="13"/>
        <v>SUVELC</v>
      </c>
      <c r="AL36" s="67">
        <f>1/INDEX(Analytica!$AA$17:$AE$48,MATCH($AK36,Analytica!$A$17:$A$48,0),MATCH(AL$16,Analytica!$AA$16:$AE$16,0))</f>
        <v>0.6770480704129993</v>
      </c>
      <c r="AM36" s="67">
        <f t="array" ref="AM36">IF($AE$1,AL36*(1+INDEX(AM$1:AM$2,MATCH($O36,$AI$1:$AI$2,0)))^(AM$16-AL$16),INDEX('AEA2012 update'!$AC$6:$AG$104,MATCH($T36&amp;$U36,'AEA2012 update'!$A$6:$A$104&amp;'AEA2012 update'!$B$6:$B$104,0),MATCH(AM$16,'AEA2012 update'!$AC$4:$AG$4,0)))</f>
        <v>0.66694304333107646</v>
      </c>
      <c r="AN36" s="67">
        <f t="array" ref="AN36">IF($AE$1,AM36*(1+INDEX(AN$1:AN$2,MATCH($O36,$AI$1:$AI$2,0)))^(AN$16-AM$16),INDEX('AEA2012 update'!$AC$6:$AG$104,MATCH($T36&amp;$U36,'AEA2012 update'!$A$6:$A$104&amp;'AEA2012 update'!$B$6:$B$104,0),MATCH(AN$16,'AEA2012 update'!$AC$4:$AG$4,0)))</f>
        <v>0.61857718985694776</v>
      </c>
      <c r="AO36" s="67">
        <f t="array" ref="AO36">IF($AE$1,AN36*(1+INDEX(AO$1:AO$2,MATCH($O36,$AI$1:$AI$2,0)))^(AO$16-AN$16),INDEX('AEA2012 update'!$AC$6:$AG$104,MATCH($T36&amp;$U36,'AEA2012 update'!$A$6:$A$104&amp;'AEA2012 update'!$B$6:$B$104,0),MATCH(AO$16,'AEA2012 update'!$AC$4:$AG$4,0)))</f>
        <v>0.55943012251594149</v>
      </c>
      <c r="AP36" s="67">
        <f t="array" ref="AP36">IF($AE$1,AO36*(1+INDEX(AP$1:AP$2,MATCH($O36,$AI$1:$AI$2,0)))^(AP$16-AO$16),INDEX('AEA2012 update'!$AC$6:$AG$104,MATCH($T36&amp;$U36,'AEA2012 update'!$A$6:$A$104&amp;'AEA2012 update'!$B$6:$B$104,0),MATCH(AP$16,'AEA2012 update'!$AC$4:$AG$4,0)))</f>
        <v>0.50593857502339679</v>
      </c>
      <c r="AQ36" s="67"/>
      <c r="AR36" s="274">
        <f t="shared" si="10"/>
        <v>-4.9750416666666814E-3</v>
      </c>
      <c r="AS36" s="274">
        <f t="shared" si="11"/>
        <v>-8.0468874575124021E-3</v>
      </c>
      <c r="AY36" s="61" t="str">
        <f t="shared" si="12"/>
        <v>SUV-ELC</v>
      </c>
      <c r="AZ36" s="80" t="e" cm="1">
        <f t="array" aca="1" ref="AZ36" ca="1">AL36/INDIRECT("cv."&amp;LEFT($U36,6)&amp;".hhv.MJL") * 100</f>
        <v>#REF!</v>
      </c>
      <c r="BA36" s="80" t="e" cm="1">
        <f t="array" aca="1" ref="BA36" ca="1">AM36/INDIRECT("cv."&amp;LEFT($U36,6)&amp;".hhv.MJL") * 100</f>
        <v>#REF!</v>
      </c>
      <c r="BB36" s="80" t="e" cm="1">
        <f t="array" aca="1" ref="BB36" ca="1">AN36/INDIRECT("cv."&amp;LEFT($U36,6)&amp;".hhv.MJL") * 100</f>
        <v>#REF!</v>
      </c>
      <c r="BC36" s="80" t="e" cm="1">
        <f t="array" aca="1" ref="BC36" ca="1">AO36/INDIRECT("cv."&amp;LEFT($U36,6)&amp;".hhv.MJL") * 100</f>
        <v>#REF!</v>
      </c>
      <c r="BD36" s="80" t="e" cm="1">
        <f t="array" aca="1" ref="BD36" ca="1">AP36/INDIRECT("cv."&amp;LEFT($U36,6)&amp;".hhv.MJL") * 100</f>
        <v>#REF!</v>
      </c>
    </row>
    <row r="37" spans="1:56" x14ac:dyDescent="0.25">
      <c r="N37" s="61" t="s">
        <v>504</v>
      </c>
      <c r="O37" s="61" t="s">
        <v>613</v>
      </c>
      <c r="P37" s="61" t="s">
        <v>460</v>
      </c>
      <c r="Q37" s="61" t="str">
        <f t="shared" si="7"/>
        <v>SUV</v>
      </c>
      <c r="R37" s="61" t="s">
        <v>680</v>
      </c>
      <c r="S37" s="65"/>
      <c r="T37" s="273" t="s">
        <v>701</v>
      </c>
      <c r="U37" s="957" t="s">
        <v>699</v>
      </c>
      <c r="V37" s="965">
        <v>2050</v>
      </c>
      <c r="W37" s="958">
        <f t="shared" ref="W37:AC52" si="15">IF($V37="",0,IF(W$19&gt;=$V37,1,0))</f>
        <v>0</v>
      </c>
      <c r="X37" s="959">
        <f t="shared" si="15"/>
        <v>0</v>
      </c>
      <c r="Y37" s="959">
        <f t="shared" si="15"/>
        <v>0</v>
      </c>
      <c r="Z37" s="959">
        <f t="shared" si="15"/>
        <v>0</v>
      </c>
      <c r="AA37" s="959">
        <f t="shared" si="15"/>
        <v>0</v>
      </c>
      <c r="AB37" s="959">
        <f t="shared" si="15"/>
        <v>0</v>
      </c>
      <c r="AC37" s="960">
        <f t="shared" si="15"/>
        <v>1</v>
      </c>
      <c r="AD37" s="103" cm="1">
        <f t="array" ref="AD37">IF(W37,INDEX('AEA2012 update'!$K$6:$R$104,MATCH($T37&amp;$R37,'AEA2012 update'!$A$6:$A$104&amp;'AEA2012 update'!$B$6:$B$104,0),MATCH(AD$16,'AEA2012 update'!$S$4:$Z$4,0)),INDEX('AEA2012 update'!$K$6:$R$104,MATCH($T37&amp;$U37,'AEA2012 update'!$A$6:$A$104&amp;'AEA2012 update'!$B$6:$B$104,0),MATCH(AD$16,'AEA2012 update'!$S$4:$Z$4,0)))</f>
        <v>4426942.2286890121</v>
      </c>
      <c r="AE37" s="103" cm="1">
        <f t="array" ref="AE37">IF(X37,INDEX('AEA2012 update'!$K$6:$R$104,MATCH($T37&amp;$R37,'AEA2012 update'!$A$6:$A$104&amp;'AEA2012 update'!$B$6:$B$104,0),MATCH(AE$16,'AEA2012 update'!$S$4:$Z$4,0)),INDEX('AEA2012 update'!$K$6:$R$104,MATCH($T37&amp;$U37,'AEA2012 update'!$A$6:$A$104&amp;'AEA2012 update'!$B$6:$B$104,0),MATCH(AE$16,'AEA2012 update'!$S$4:$Z$4,0)))</f>
        <v>1769962.7067509172</v>
      </c>
      <c r="AF37" s="103" cm="1">
        <f t="array" ref="AF37">IF(Y37,INDEX('AEA2012 update'!$K$6:$R$104,MATCH($T37&amp;$R37,'AEA2012 update'!$A$6:$A$104&amp;'AEA2012 update'!$B$6:$B$104,0),MATCH(AF$16,'AEA2012 update'!$S$4:$Z$4,0)),INDEX('AEA2012 update'!$K$6:$R$104,MATCH($T37&amp;$U37,'AEA2012 update'!$A$6:$A$104&amp;'AEA2012 update'!$B$6:$B$104,0),MATCH(AF$16,'AEA2012 update'!$S$4:$Z$4,0)))</f>
        <v>1358748.1529305463</v>
      </c>
      <c r="AG37" s="103" cm="1">
        <f t="array" ref="AG37">IF(Z37,INDEX('AEA2012 update'!$K$6:$R$104,MATCH($T37&amp;$R37,'AEA2012 update'!$A$6:$A$104&amp;'AEA2012 update'!$B$6:$B$104,0),MATCH(AG$16,'AEA2012 update'!$S$4:$Z$4,0)),INDEX('AEA2012 update'!$K$6:$R$104,MATCH($T37&amp;$U37,'AEA2012 update'!$A$6:$A$104&amp;'AEA2012 update'!$B$6:$B$104,0),MATCH(AG$16,'AEA2012 update'!$S$4:$Z$4,0)))</f>
        <v>947533.59911017539</v>
      </c>
      <c r="AH37" s="103" cm="1">
        <f t="array" ref="AH37">IF(AA37,INDEX('AEA2012 update'!$K$6:$R$104,MATCH($T37&amp;$R37,'AEA2012 update'!$A$6:$A$104&amp;'AEA2012 update'!$B$6:$B$104,0),MATCH(AH$16,'AEA2012 update'!$S$4:$Z$4,0)),INDEX('AEA2012 update'!$K$6:$R$104,MATCH($T37&amp;$U37,'AEA2012 update'!$A$6:$A$104&amp;'AEA2012 update'!$B$6:$B$104,0),MATCH(AH$16,'AEA2012 update'!$S$4:$Z$4,0)))</f>
        <v>902309.9582547989</v>
      </c>
      <c r="AI37" s="103" cm="1">
        <f t="array" ref="AI37">IF(AB37,INDEX('AEA2012 update'!$K$6:$R$104,MATCH($T37&amp;$R37,'AEA2012 update'!$A$6:$A$104&amp;'AEA2012 update'!$B$6:$B$104,0),MATCH(AI$16,'AEA2012 update'!$S$4:$Z$4,0)),INDEX('AEA2012 update'!$K$6:$R$104,MATCH($T37&amp;$U37,'AEA2012 update'!$A$6:$A$104&amp;'AEA2012 update'!$B$6:$B$104,0),MATCH(AI$16,'AEA2012 update'!$S$4:$Z$4,0)))</f>
        <v>857086.31739942229</v>
      </c>
      <c r="AJ37" s="103" cm="1">
        <f t="array" ref="AJ37">IF(AC37,INDEX('AEA2012 update'!$K$6:$R$104,MATCH($T37&amp;$R37,'AEA2012 update'!$A$6:$A$104&amp;'AEA2012 update'!$B$6:$B$104,0),MATCH(AJ$16,'AEA2012 update'!$S$4:$Z$4,0)),INDEX('AEA2012 update'!$K$6:$R$104,MATCH($T37&amp;$U37,'AEA2012 update'!$A$6:$A$104&amp;'AEA2012 update'!$B$6:$B$104,0),MATCH(AJ$16,'AEA2012 update'!$S$4:$Z$4,0)))</f>
        <v>387396.22422821133</v>
      </c>
      <c r="AK37" s="103" t="str">
        <f t="shared" si="13"/>
        <v>SUVHGN</v>
      </c>
      <c r="AL37" s="67">
        <f>INDEX('Vehicle data '!$AD$20:$AD$110,MATCH($AK37,'Vehicle data '!$AC$20:$AC$110,0))/INDEX('Vehicle data '!$AD$20:$AD$110,MATCH($AK$31,'Vehicle data '!$AC$20:$AC$110,0))*AL$31</f>
        <v>1.1523049072229372</v>
      </c>
      <c r="AM37" s="67">
        <f t="array" ref="AM37">IF($AE$1,AL37*(1+INDEX(AM$1:AM$2,MATCH($O37,$AI$1:$AI$2,0)))^(AM$16-AL$16),INDEX('AEA2012 update'!$AC$6:$AG$104,MATCH($T37&amp;$U37,'AEA2012 update'!$A$6:$A$104&amp;'AEA2012 update'!$B$6:$B$104,0),MATCH(AM$16,'AEA2012 update'!$AC$4:$AG$4,0)))</f>
        <v>1.1351066124445215</v>
      </c>
      <c r="AN37" s="67">
        <f t="array" ref="AN37">IF($AE$1,AM37*(1+INDEX(AN$1:AN$2,MATCH($O37,$AI$1:$AI$2,0)))^(AN$16-AM$16),INDEX('AEA2012 update'!$AC$6:$AG$104,MATCH($T37&amp;$U37,'AEA2012 update'!$A$6:$A$104&amp;'AEA2012 update'!$B$6:$B$104,0),MATCH(AN$16,'AEA2012 update'!$AC$4:$AG$4,0)))</f>
        <v>1.0527901378310316</v>
      </c>
      <c r="AO37" s="67">
        <f t="array" ref="AO37">IF($AE$1,AN37*(1+INDEX(AO$1:AO$2,MATCH($O37,$AI$1:$AI$2,0)))^(AO$16-AN$16),INDEX('AEA2012 update'!$AC$6:$AG$104,MATCH($T37&amp;$U37,'AEA2012 update'!$A$6:$A$104&amp;'AEA2012 update'!$B$6:$B$104,0),MATCH(AO$16,'AEA2012 update'!$AC$4:$AG$4,0)))</f>
        <v>0.95212452940043346</v>
      </c>
      <c r="AP37" s="67">
        <f t="array" ref="AP37">IF($AE$1,AO37*(1+INDEX(AP$1:AP$2,MATCH($O37,$AI$1:$AI$2,0)))^(AP$16-AO$16),INDEX('AEA2012 update'!$AC$6:$AG$104,MATCH($T37&amp;$U37,'AEA2012 update'!$A$6:$A$104&amp;'AEA2012 update'!$B$6:$B$104,0),MATCH(AP$16,'AEA2012 update'!$AC$4:$AG$4,0)))</f>
        <v>0.86108435756594526</v>
      </c>
      <c r="AQ37" s="67"/>
      <c r="AR37" s="274">
        <f t="shared" si="10"/>
        <v>-4.9750416666666615E-3</v>
      </c>
      <c r="AS37" s="274">
        <f t="shared" si="11"/>
        <v>-8.0468874575124003E-3</v>
      </c>
      <c r="AY37" s="61" t="str">
        <f t="shared" si="12"/>
        <v>SUV-HGN</v>
      </c>
      <c r="AZ37" s="80" t="e" cm="1">
        <f t="array" aca="1" ref="AZ37" ca="1">AL37/INDIRECT("cv."&amp;LEFT($U37,6)&amp;".hhv.MJL") * 100</f>
        <v>#REF!</v>
      </c>
      <c r="BA37" s="80" t="e" cm="1">
        <f t="array" aca="1" ref="BA37" ca="1">AM37/INDIRECT("cv."&amp;LEFT($U37,6)&amp;".hhv.MJL") * 100</f>
        <v>#REF!</v>
      </c>
      <c r="BB37" s="80" t="e" cm="1">
        <f t="array" aca="1" ref="BB37" ca="1">AN37/INDIRECT("cv."&amp;LEFT($U37,6)&amp;".hhv.MJL") * 100</f>
        <v>#REF!</v>
      </c>
      <c r="BC37" s="80" t="e" cm="1">
        <f t="array" aca="1" ref="BC37" ca="1">AO37/INDIRECT("cv."&amp;LEFT($U37,6)&amp;".hhv.MJL") * 100</f>
        <v>#REF!</v>
      </c>
      <c r="BD37" s="80" t="e" cm="1">
        <f t="array" aca="1" ref="BD37" ca="1">AP37/INDIRECT("cv."&amp;LEFT($U37,6)&amp;".hhv.MJL") * 100</f>
        <v>#REF!</v>
      </c>
    </row>
    <row r="38" spans="1:56" x14ac:dyDescent="0.25">
      <c r="A38" s="65" t="s">
        <v>617</v>
      </c>
      <c r="C38" s="65" t="s">
        <v>702</v>
      </c>
      <c r="N38" s="61" t="s">
        <v>509</v>
      </c>
      <c r="O38" s="61" t="s">
        <v>613</v>
      </c>
      <c r="P38" s="61" t="s">
        <v>460</v>
      </c>
      <c r="Q38" s="61" t="str">
        <f t="shared" si="7"/>
        <v>SUV</v>
      </c>
      <c r="R38" s="61" t="s">
        <v>680</v>
      </c>
      <c r="S38" s="65"/>
      <c r="T38" s="273" t="s">
        <v>701</v>
      </c>
      <c r="U38" s="957" t="s">
        <v>700</v>
      </c>
      <c r="V38" s="965"/>
      <c r="W38" s="958">
        <f t="shared" si="15"/>
        <v>0</v>
      </c>
      <c r="X38" s="959">
        <f t="shared" si="15"/>
        <v>0</v>
      </c>
      <c r="Y38" s="959">
        <f t="shared" si="15"/>
        <v>0</v>
      </c>
      <c r="Z38" s="959">
        <f t="shared" si="15"/>
        <v>0</v>
      </c>
      <c r="AA38" s="959">
        <f t="shared" si="15"/>
        <v>0</v>
      </c>
      <c r="AB38" s="959">
        <f t="shared" si="15"/>
        <v>0</v>
      </c>
      <c r="AC38" s="960">
        <f t="shared" si="15"/>
        <v>0</v>
      </c>
      <c r="AD38" s="103" cm="1">
        <f t="array" ref="AD38">IF(W38,INDEX('AEA2012 update'!$K$6:$R$104,MATCH($T38&amp;$R38,'AEA2012 update'!$A$6:$A$104&amp;'AEA2012 update'!$B$6:$B$104,0),MATCH(AD$16,'AEA2012 update'!$S$4:$Z$4,0)),INDEX('AEA2012 update'!$K$6:$R$104,MATCH($T38&amp;$U38,'AEA2012 update'!$A$6:$A$104&amp;'AEA2012 update'!$B$6:$B$104,0),MATCH(AD$16,'AEA2012 update'!$S$4:$Z$4,0)))</f>
        <v>519120.41439989489</v>
      </c>
      <c r="AE38" s="103" cm="1">
        <f t="array" ref="AE38">IF(X38,INDEX('AEA2012 update'!$K$6:$R$104,MATCH($T38&amp;$R38,'AEA2012 update'!$A$6:$A$104&amp;'AEA2012 update'!$B$6:$B$104,0),MATCH(AE$16,'AEA2012 update'!$S$4:$Z$4,0)),INDEX('AEA2012 update'!$K$6:$R$104,MATCH($T38&amp;$U38,'AEA2012 update'!$A$6:$A$104&amp;'AEA2012 update'!$B$6:$B$104,0),MATCH(AE$16,'AEA2012 update'!$S$4:$Z$4,0)))</f>
        <v>545626.74611489451</v>
      </c>
      <c r="AF38" s="103" cm="1">
        <f t="array" ref="AF38">IF(Y38,INDEX('AEA2012 update'!$K$6:$R$104,MATCH($T38&amp;$R38,'AEA2012 update'!$A$6:$A$104&amp;'AEA2012 update'!$B$6:$B$104,0),MATCH(AF$16,'AEA2012 update'!$S$4:$Z$4,0)),INDEX('AEA2012 update'!$K$6:$R$104,MATCH($T38&amp;$U38,'AEA2012 update'!$A$6:$A$104&amp;'AEA2012 update'!$B$6:$B$104,0),MATCH(AF$16,'AEA2012 update'!$S$4:$Z$4,0)))</f>
        <v>551370.12411759188</v>
      </c>
      <c r="AG38" s="103" cm="1">
        <f t="array" ref="AG38">IF(Z38,INDEX('AEA2012 update'!$K$6:$R$104,MATCH($T38&amp;$R38,'AEA2012 update'!$A$6:$A$104&amp;'AEA2012 update'!$B$6:$B$104,0),MATCH(AG$16,'AEA2012 update'!$S$4:$Z$4,0)),INDEX('AEA2012 update'!$K$6:$R$104,MATCH($T38&amp;$U38,'AEA2012 update'!$A$6:$A$104&amp;'AEA2012 update'!$B$6:$B$104,0),MATCH(AG$16,'AEA2012 update'!$S$4:$Z$4,0)))</f>
        <v>557113.50212028937</v>
      </c>
      <c r="AH38" s="103" cm="1">
        <f t="array" ref="AH38">IF(AA38,INDEX('AEA2012 update'!$K$6:$R$104,MATCH($T38&amp;$R38,'AEA2012 update'!$A$6:$A$104&amp;'AEA2012 update'!$B$6:$B$104,0),MATCH(AH$16,'AEA2012 update'!$S$4:$Z$4,0)),INDEX('AEA2012 update'!$K$6:$R$104,MATCH($T38&amp;$U38,'AEA2012 update'!$A$6:$A$104&amp;'AEA2012 update'!$B$6:$B$104,0),MATCH(AH$16,'AEA2012 update'!$S$4:$Z$4,0)))</f>
        <v>565345.03849646868</v>
      </c>
      <c r="AI38" s="103" cm="1">
        <f t="array" ref="AI38">IF(AB38,INDEX('AEA2012 update'!$K$6:$R$104,MATCH($T38&amp;$R38,'AEA2012 update'!$A$6:$A$104&amp;'AEA2012 update'!$B$6:$B$104,0),MATCH(AI$16,'AEA2012 update'!$S$4:$Z$4,0)),INDEX('AEA2012 update'!$K$6:$R$104,MATCH($T38&amp;$U38,'AEA2012 update'!$A$6:$A$104&amp;'AEA2012 update'!$B$6:$B$104,0),MATCH(AI$16,'AEA2012 update'!$S$4:$Z$4,0)))</f>
        <v>573576.57487264799</v>
      </c>
      <c r="AJ38" s="103" cm="1">
        <f t="array" ref="AJ38">IF(AC38,INDEX('AEA2012 update'!$K$6:$R$104,MATCH($T38&amp;$R38,'AEA2012 update'!$A$6:$A$104&amp;'AEA2012 update'!$B$6:$B$104,0),MATCH(AJ$16,'AEA2012 update'!$S$4:$Z$4,0)),INDEX('AEA2012 update'!$K$6:$R$104,MATCH($T38&amp;$U38,'AEA2012 update'!$A$6:$A$104&amp;'AEA2012 update'!$B$6:$B$104,0),MATCH(AJ$16,'AEA2012 update'!$S$4:$Z$4,0)))</f>
        <v>580795.72210982675</v>
      </c>
      <c r="AK38" s="103" t="str">
        <f t="shared" si="13"/>
        <v>SUVGAS</v>
      </c>
      <c r="AL38" s="67">
        <f>INDEX('Vehicle data '!$AD$20:$AD$110,MATCH($AK38,'Vehicle data '!$AC$20:$AC$110,0))/INDEX('Vehicle data '!$AD$20:$AD$110,MATCH($AK$31,'Vehicle data '!$AC$20:$AC$110,0))*AL$31</f>
        <v>2.7440122351772311</v>
      </c>
      <c r="AM38" s="67">
        <f t="array" ref="AM38">IF($AE$1,AL38*(1+INDEX(AM$1:AM$2,MATCH($O38,$AI$1:$AI$2,0)))^(AM$16-AL$16),INDEX('AEA2012 update'!$AC$6:$AG$104,MATCH($T38&amp;$U38,'AEA2012 update'!$A$6:$A$104&amp;'AEA2012 update'!$B$6:$B$104,0),MATCH(AM$16,'AEA2012 update'!$AC$4:$AG$4,0)))</f>
        <v>2.7030575095656815</v>
      </c>
      <c r="AN38" s="67">
        <f t="array" ref="AN38">IF($AE$1,AM38*(1+INDEX(AN$1:AN$2,MATCH($O38,$AI$1:$AI$2,0)))^(AN$16-AM$16),INDEX('AEA2012 update'!$AC$6:$AG$104,MATCH($T38&amp;$U38,'AEA2012 update'!$A$6:$A$104&amp;'AEA2012 update'!$B$6:$B$104,0),MATCH(AN$16,'AEA2012 update'!$AC$4:$AG$4,0)))</f>
        <v>2.5070352483740335</v>
      </c>
      <c r="AO38" s="67">
        <f t="array" ref="AO38">IF($AE$1,AN38*(1+INDEX(AO$1:AO$2,MATCH($O38,$AI$1:$AI$2,0)))^(AO$16-AN$16),INDEX('AEA2012 update'!$AC$6:$AG$104,MATCH($T38&amp;$U38,'AEA2012 update'!$A$6:$A$104&amp;'AEA2012 update'!$B$6:$B$104,0),MATCH(AO$16,'AEA2012 update'!$AC$4:$AG$4,0)))</f>
        <v>2.2673177400447213</v>
      </c>
      <c r="AP38" s="67">
        <f t="array" ref="AP38">IF($AE$1,AO38*(1+INDEX(AP$1:AP$2,MATCH($O38,$AI$1:$AI$2,0)))^(AP$16-AO$16),INDEX('AEA2012 update'!$AC$6:$AG$104,MATCH($T38&amp;$U38,'AEA2012 update'!$A$6:$A$104&amp;'AEA2012 update'!$B$6:$B$104,0),MATCH(AP$16,'AEA2012 update'!$AC$4:$AG$4,0)))</f>
        <v>2.0505215224459179</v>
      </c>
      <c r="AQ38" s="67"/>
      <c r="AR38" s="274">
        <f t="shared" si="10"/>
        <v>-4.975041666666678E-3</v>
      </c>
      <c r="AS38" s="274">
        <f t="shared" si="11"/>
        <v>-8.0468874575124003E-3</v>
      </c>
      <c r="AY38" s="61" t="str">
        <f t="shared" si="12"/>
        <v>SUV-GAS</v>
      </c>
      <c r="AZ38" s="80" t="e" cm="1">
        <f t="array" aca="1" ref="AZ38" ca="1">AL38/INDIRECT("cv."&amp;LEFT($U38,6)&amp;".hhv.MJL") * 100</f>
        <v>#REF!</v>
      </c>
      <c r="BA38" s="80" t="e" cm="1">
        <f t="array" aca="1" ref="BA38" ca="1">AM38/INDIRECT("cv."&amp;LEFT($U38,6)&amp;".hhv.MJL") * 100</f>
        <v>#REF!</v>
      </c>
      <c r="BB38" s="80" t="e" cm="1">
        <f t="array" aca="1" ref="BB38" ca="1">AN38/INDIRECT("cv."&amp;LEFT($U38,6)&amp;".hhv.MJL") * 100</f>
        <v>#REF!</v>
      </c>
      <c r="BC38" s="80" t="e" cm="1">
        <f t="array" aca="1" ref="BC38" ca="1">AO38/INDIRECT("cv."&amp;LEFT($U38,6)&amp;".hhv.MJL") * 100</f>
        <v>#REF!</v>
      </c>
      <c r="BD38" s="80" t="e" cm="1">
        <f t="array" aca="1" ref="BD38" ca="1">AP38/INDIRECT("cv."&amp;LEFT($U38,6)&amp;".hhv.MJL") * 100</f>
        <v>#REF!</v>
      </c>
    </row>
    <row r="39" spans="1:56" x14ac:dyDescent="0.25">
      <c r="A39" s="65"/>
      <c r="C39" s="65"/>
      <c r="O39" s="61" t="s">
        <v>613</v>
      </c>
      <c r="Q39" s="61" t="str">
        <f t="shared" si="7"/>
        <v/>
      </c>
      <c r="S39" s="65"/>
      <c r="T39" s="273"/>
      <c r="U39" s="957"/>
      <c r="V39" s="965"/>
      <c r="W39" s="958">
        <f t="shared" si="15"/>
        <v>0</v>
      </c>
      <c r="X39" s="959">
        <f t="shared" si="15"/>
        <v>0</v>
      </c>
      <c r="Y39" s="959">
        <f t="shared" si="15"/>
        <v>0</v>
      </c>
      <c r="Z39" s="959">
        <f t="shared" si="15"/>
        <v>0</v>
      </c>
      <c r="AA39" s="959">
        <f t="shared" si="15"/>
        <v>0</v>
      </c>
      <c r="AB39" s="959">
        <f t="shared" si="15"/>
        <v>0</v>
      </c>
      <c r="AC39" s="960">
        <f t="shared" si="15"/>
        <v>0</v>
      </c>
      <c r="AD39" s="103" t="e" cm="1">
        <f t="array" ref="AD39">IF(W39,INDEX('AEA2012 update'!$K$6:$R$104,MATCH($T39&amp;$R39,'AEA2012 update'!$A$6:$A$104&amp;'AEA2012 update'!$B$6:$B$104,0),MATCH(AD$16,'AEA2012 update'!$S$4:$Z$4,0)),INDEX('AEA2012 update'!$K$6:$R$104,MATCH($T39&amp;$U39,'AEA2012 update'!$A$6:$A$104&amp;'AEA2012 update'!$B$6:$B$104,0),MATCH(AD$16,'AEA2012 update'!$S$4:$Z$4,0)))</f>
        <v>#N/A</v>
      </c>
      <c r="AE39" s="103" t="e" cm="1">
        <f t="array" ref="AE39">IF(X39,INDEX('AEA2012 update'!$K$6:$R$104,MATCH($T39&amp;$R39,'AEA2012 update'!$A$6:$A$104&amp;'AEA2012 update'!$B$6:$B$104,0),MATCH(AE$16,'AEA2012 update'!$S$4:$Z$4,0)),INDEX('AEA2012 update'!$K$6:$R$104,MATCH($T39&amp;$U39,'AEA2012 update'!$A$6:$A$104&amp;'AEA2012 update'!$B$6:$B$104,0),MATCH(AE$16,'AEA2012 update'!$S$4:$Z$4,0)))</f>
        <v>#N/A</v>
      </c>
      <c r="AF39" s="103" t="e" cm="1">
        <f t="array" ref="AF39">IF(Y39,INDEX('AEA2012 update'!$K$6:$R$104,MATCH($T39&amp;$R39,'AEA2012 update'!$A$6:$A$104&amp;'AEA2012 update'!$B$6:$B$104,0),MATCH(AF$16,'AEA2012 update'!$S$4:$Z$4,0)),INDEX('AEA2012 update'!$K$6:$R$104,MATCH($T39&amp;$U39,'AEA2012 update'!$A$6:$A$104&amp;'AEA2012 update'!$B$6:$B$104,0),MATCH(AF$16,'AEA2012 update'!$S$4:$Z$4,0)))</f>
        <v>#N/A</v>
      </c>
      <c r="AG39" s="103" t="e" cm="1">
        <f t="array" ref="AG39">IF(Z39,INDEX('AEA2012 update'!$K$6:$R$104,MATCH($T39&amp;$R39,'AEA2012 update'!$A$6:$A$104&amp;'AEA2012 update'!$B$6:$B$104,0),MATCH(AG$16,'AEA2012 update'!$S$4:$Z$4,0)),INDEX('AEA2012 update'!$K$6:$R$104,MATCH($T39&amp;$U39,'AEA2012 update'!$A$6:$A$104&amp;'AEA2012 update'!$B$6:$B$104,0),MATCH(AG$16,'AEA2012 update'!$S$4:$Z$4,0)))</f>
        <v>#N/A</v>
      </c>
      <c r="AH39" s="103" t="e" cm="1">
        <f t="array" ref="AH39">IF(AA39,INDEX('AEA2012 update'!$K$6:$R$104,MATCH($T39&amp;$R39,'AEA2012 update'!$A$6:$A$104&amp;'AEA2012 update'!$B$6:$B$104,0),MATCH(AH$16,'AEA2012 update'!$S$4:$Z$4,0)),INDEX('AEA2012 update'!$K$6:$R$104,MATCH($T39&amp;$U39,'AEA2012 update'!$A$6:$A$104&amp;'AEA2012 update'!$B$6:$B$104,0),MATCH(AH$16,'AEA2012 update'!$S$4:$Z$4,0)))</f>
        <v>#N/A</v>
      </c>
      <c r="AI39" s="103" t="e" cm="1">
        <f t="array" ref="AI39">IF(AB39,INDEX('AEA2012 update'!$K$6:$R$104,MATCH($T39&amp;$R39,'AEA2012 update'!$A$6:$A$104&amp;'AEA2012 update'!$B$6:$B$104,0),MATCH(AI$16,'AEA2012 update'!$S$4:$Z$4,0)),INDEX('AEA2012 update'!$K$6:$R$104,MATCH($T39&amp;$U39,'AEA2012 update'!$A$6:$A$104&amp;'AEA2012 update'!$B$6:$B$104,0),MATCH(AI$16,'AEA2012 update'!$S$4:$Z$4,0)))</f>
        <v>#N/A</v>
      </c>
      <c r="AJ39" s="103" t="e" cm="1">
        <f t="array" ref="AJ39">IF(AC39,INDEX('AEA2012 update'!$K$6:$R$104,MATCH($T39&amp;$R39,'AEA2012 update'!$A$6:$A$104&amp;'AEA2012 update'!$B$6:$B$104,0),MATCH(AJ$16,'AEA2012 update'!$S$4:$Z$4,0)),INDEX('AEA2012 update'!$K$6:$R$104,MATCH($T39&amp;$U39,'AEA2012 update'!$A$6:$A$104&amp;'AEA2012 update'!$B$6:$B$104,0),MATCH(AJ$16,'AEA2012 update'!$S$4:$Z$4,0)))</f>
        <v>#N/A</v>
      </c>
      <c r="AK39" s="103" t="str">
        <f t="shared" si="13"/>
        <v/>
      </c>
      <c r="AL39" s="67" t="e">
        <f>1/INDEX(Analytica!$AA$17:$AE$48,MATCH($AK39,Analytica!$A$17:$A$48,0),MATCH(AL$16,Analytica!$AA$16:$AE$16,0))</f>
        <v>#N/A</v>
      </c>
      <c r="AM39" s="67" t="e">
        <f t="array" ref="AM39">IF($AE$1,AL39*(1+INDEX(AM$1:AM$2,MATCH($O39,$AI$1:$AI$2,0)))^(AM$16-AL$16),INDEX('AEA2012 update'!$AC$6:$AG$104,MATCH($T39&amp;$U39,'AEA2012 update'!$A$6:$A$104&amp;'AEA2012 update'!$B$6:$B$104,0),MATCH(AM$16,'AEA2012 update'!$AC$4:$AG$4,0)))</f>
        <v>#N/A</v>
      </c>
      <c r="AN39" s="67" t="e">
        <f t="array" ref="AN39">IF($AE$1,AM39*(1+INDEX(AN$1:AN$2,MATCH($O39,$AI$1:$AI$2,0)))^(AN$16-AM$16),INDEX('AEA2012 update'!$AC$6:$AG$104,MATCH($T39&amp;$U39,'AEA2012 update'!$A$6:$A$104&amp;'AEA2012 update'!$B$6:$B$104,0),MATCH(AN$16,'AEA2012 update'!$AC$4:$AG$4,0)))</f>
        <v>#N/A</v>
      </c>
      <c r="AO39" s="67" t="e">
        <f t="array" ref="AO39">IF($AE$1,AN39*(1+INDEX(AO$1:AO$2,MATCH($O39,$AI$1:$AI$2,0)))^(AO$16-AN$16),INDEX('AEA2012 update'!$AC$6:$AG$104,MATCH($T39&amp;$U39,'AEA2012 update'!$A$6:$A$104&amp;'AEA2012 update'!$B$6:$B$104,0),MATCH(AO$16,'AEA2012 update'!$AC$4:$AG$4,0)))</f>
        <v>#N/A</v>
      </c>
      <c r="AP39" s="67" t="e">
        <f t="array" ref="AP39">IF($AE$1,AO39*(1+INDEX(AP$1:AP$2,MATCH($O39,$AI$1:$AI$2,0)))^(AP$16-AO$16),INDEX('AEA2012 update'!$AC$6:$AG$104,MATCH($T39&amp;$U39,'AEA2012 update'!$A$6:$A$104&amp;'AEA2012 update'!$B$6:$B$104,0),MATCH(AP$16,'AEA2012 update'!$AC$4:$AG$4,0)))</f>
        <v>#N/A</v>
      </c>
      <c r="AQ39" s="67"/>
      <c r="AR39" s="274" t="e">
        <f t="shared" si="10"/>
        <v>#N/A</v>
      </c>
      <c r="AS39" s="274" t="e">
        <f t="shared" si="11"/>
        <v>#N/A</v>
      </c>
      <c r="AY39" s="61" t="str">
        <f t="shared" si="12"/>
        <v>-</v>
      </c>
      <c r="AZ39" s="80" t="e" cm="1">
        <f t="array" aca="1" ref="AZ39" ca="1">AL39/INDIRECT("cv."&amp;LEFT($U39,6)&amp;".hhv.MJL") * 100</f>
        <v>#N/A</v>
      </c>
      <c r="BA39" s="80" t="e" cm="1">
        <f t="array" aca="1" ref="BA39" ca="1">AM39/INDIRECT("cv."&amp;LEFT($U39,6)&amp;".hhv.MJL") * 100</f>
        <v>#N/A</v>
      </c>
      <c r="BB39" s="80" t="e" cm="1">
        <f t="array" aca="1" ref="BB39" ca="1">AN39/INDIRECT("cv."&amp;LEFT($U39,6)&amp;".hhv.MJL") * 100</f>
        <v>#N/A</v>
      </c>
      <c r="BC39" s="80" t="e" cm="1">
        <f t="array" aca="1" ref="BC39" ca="1">AO39/INDIRECT("cv."&amp;LEFT($U39,6)&amp;".hhv.MJL") * 100</f>
        <v>#N/A</v>
      </c>
      <c r="BD39" s="80" t="e" cm="1">
        <f t="array" aca="1" ref="BD39" ca="1">AP39/INDIRECT("cv."&amp;LEFT($U39,6)&amp;".hhv.MJL") * 100</f>
        <v>#N/A</v>
      </c>
    </row>
    <row r="40" spans="1:56" x14ac:dyDescent="0.25">
      <c r="A40" s="210" t="s">
        <v>703</v>
      </c>
      <c r="C40" s="61" t="s">
        <v>704</v>
      </c>
      <c r="D40" s="61" t="s">
        <v>705</v>
      </c>
      <c r="E40" s="61" t="s">
        <v>706</v>
      </c>
      <c r="F40" s="61">
        <v>10000</v>
      </c>
      <c r="N40" s="61" t="s">
        <v>573</v>
      </c>
      <c r="O40" s="61" t="s">
        <v>613</v>
      </c>
      <c r="P40" s="61" t="s">
        <v>61</v>
      </c>
      <c r="Q40" s="61" t="str">
        <f t="shared" si="7"/>
        <v>MBT</v>
      </c>
      <c r="R40" s="61" t="s">
        <v>680</v>
      </c>
      <c r="S40" s="65"/>
      <c r="T40" s="273" t="s">
        <v>701</v>
      </c>
      <c r="U40" s="957" t="s">
        <v>680</v>
      </c>
      <c r="V40" s="965"/>
      <c r="W40" s="958">
        <f t="shared" si="15"/>
        <v>0</v>
      </c>
      <c r="X40" s="959">
        <f t="shared" si="15"/>
        <v>0</v>
      </c>
      <c r="Y40" s="959">
        <f t="shared" si="15"/>
        <v>0</v>
      </c>
      <c r="Z40" s="959">
        <f t="shared" si="15"/>
        <v>0</v>
      </c>
      <c r="AA40" s="959">
        <f t="shared" si="15"/>
        <v>0</v>
      </c>
      <c r="AB40" s="959">
        <f t="shared" si="15"/>
        <v>0</v>
      </c>
      <c r="AC40" s="960">
        <f t="shared" si="15"/>
        <v>0</v>
      </c>
      <c r="AD40" s="103" cm="1">
        <f t="array" ref="AD40">IF(W40,INDEX('AEA2012 update'!$K$6:$R$104,MATCH($T40&amp;$R40,'AEA2012 update'!$A$6:$A$104&amp;'AEA2012 update'!$B$6:$B$104,0),MATCH(AD$16,'AEA2012 update'!$S$4:$Z$4,0)),INDEX('AEA2012 update'!$K$6:$R$104,MATCH($T40&amp;$U40,'AEA2012 update'!$A$6:$A$104&amp;'AEA2012 update'!$B$6:$B$104,0),MATCH(AD$16,'AEA2012 update'!$S$4:$Z$4,0)))</f>
        <v>322554.53757929691</v>
      </c>
      <c r="AE40" s="103" cm="1">
        <f t="array" ref="AE40">IF(X40,INDEX('AEA2012 update'!$K$6:$R$104,MATCH($T40&amp;$R40,'AEA2012 update'!$A$6:$A$104&amp;'AEA2012 update'!$B$6:$B$104,0),MATCH(AE$16,'AEA2012 update'!$S$4:$Z$4,0)),INDEX('AEA2012 update'!$K$6:$R$104,MATCH($T40&amp;$U40,'AEA2012 update'!$A$6:$A$104&amp;'AEA2012 update'!$B$6:$B$104,0),MATCH(AE$16,'AEA2012 update'!$S$4:$Z$4,0)))</f>
        <v>350637.87759734597</v>
      </c>
      <c r="AF40" s="103" cm="1">
        <f t="array" ref="AF40">IF(Y40,INDEX('AEA2012 update'!$K$6:$R$104,MATCH($T40&amp;$R40,'AEA2012 update'!$A$6:$A$104&amp;'AEA2012 update'!$B$6:$B$104,0),MATCH(AF$16,'AEA2012 update'!$S$4:$Z$4,0)),INDEX('AEA2012 update'!$K$6:$R$104,MATCH($T40&amp;$U40,'AEA2012 update'!$A$6:$A$104&amp;'AEA2012 update'!$B$6:$B$104,0),MATCH(AF$16,'AEA2012 update'!$S$4:$Z$4,0)))</f>
        <v>357099.62238446943</v>
      </c>
      <c r="AG40" s="103" cm="1">
        <f t="array" ref="AG40">IF(Z40,INDEX('AEA2012 update'!$K$6:$R$104,MATCH($T40&amp;$R40,'AEA2012 update'!$A$6:$A$104&amp;'AEA2012 update'!$B$6:$B$104,0),MATCH(AG$16,'AEA2012 update'!$S$4:$Z$4,0)),INDEX('AEA2012 update'!$K$6:$R$104,MATCH($T40&amp;$U40,'AEA2012 update'!$A$6:$A$104&amp;'AEA2012 update'!$B$6:$B$104,0),MATCH(AG$16,'AEA2012 update'!$S$4:$Z$4,0)))</f>
        <v>363561.36717159278</v>
      </c>
      <c r="AH40" s="103" cm="1">
        <f t="array" ref="AH40">IF(AA40,INDEX('AEA2012 update'!$K$6:$R$104,MATCH($T40&amp;$R40,'AEA2012 update'!$A$6:$A$104&amp;'AEA2012 update'!$B$6:$B$104,0),MATCH(AH$16,'AEA2012 update'!$S$4:$Z$4,0)),INDEX('AEA2012 update'!$K$6:$R$104,MATCH($T40&amp;$U40,'AEA2012 update'!$A$6:$A$104&amp;'AEA2012 update'!$B$6:$B$104,0),MATCH(AH$16,'AEA2012 update'!$S$4:$Z$4,0)))</f>
        <v>371500.85823323019</v>
      </c>
      <c r="AI40" s="103" cm="1">
        <f t="array" ref="AI40">IF(AB40,INDEX('AEA2012 update'!$K$6:$R$104,MATCH($T40&amp;$R40,'AEA2012 update'!$A$6:$A$104&amp;'AEA2012 update'!$B$6:$B$104,0),MATCH(AI$16,'AEA2012 update'!$S$4:$Z$4,0)),INDEX('AEA2012 update'!$K$6:$R$104,MATCH($T40&amp;$U40,'AEA2012 update'!$A$6:$A$104&amp;'AEA2012 update'!$B$6:$B$104,0),MATCH(AI$16,'AEA2012 update'!$S$4:$Z$4,0)))</f>
        <v>379440.3492948676</v>
      </c>
      <c r="AJ40" s="103" cm="1">
        <f t="array" ref="AJ40">IF(AC40,INDEX('AEA2012 update'!$K$6:$R$104,MATCH($T40&amp;$R40,'AEA2012 update'!$A$6:$A$104&amp;'AEA2012 update'!$B$6:$B$104,0),MATCH(AJ$16,'AEA2012 update'!$S$4:$Z$4,0)),INDEX('AEA2012 update'!$K$6:$R$104,MATCH($T40&amp;$U40,'AEA2012 update'!$A$6:$A$104&amp;'AEA2012 update'!$B$6:$B$104,0),MATCH(AJ$16,'AEA2012 update'!$S$4:$Z$4,0)))</f>
        <v>387396.22422821133</v>
      </c>
      <c r="AK40" s="103" t="str">
        <f t="shared" si="13"/>
        <v>MBTOGS</v>
      </c>
      <c r="AL40" s="67">
        <f>1/INDEX(Analytica!$AA$17:$AE$48,MATCH($AK40,Analytica!$A$17:$A$48,0),MATCH(AL$16,Analytica!$AA$16:$AE$16,0))</f>
        <v>4.9810534104362922</v>
      </c>
      <c r="AM40" s="67">
        <f t="array" ref="AM40">IF($AE$1,AL40*(1+INDEX(AM$1:AM$2,MATCH($O40,$AI$1:$AI$2,0)))^(AM$16-AL$16),INDEX('AEA2012 update'!$AC$6:$AG$104,MATCH($T40&amp;$U40,'AEA2012 update'!$A$6:$A$104&amp;'AEA2012 update'!$B$6:$B$104,0),MATCH(AM$16,'AEA2012 update'!$AC$4:$AG$4,0)))</f>
        <v>4.9067105656538548</v>
      </c>
      <c r="AN40" s="67">
        <f t="array" ref="AN40">IF($AE$1,AM40*(1+INDEX(AN$1:AN$2,MATCH($O40,$AI$1:$AI$2,0)))^(AN$16-AM$16),INDEX('AEA2012 update'!$AC$6:$AG$104,MATCH($T40&amp;$U40,'AEA2012 update'!$A$6:$A$104&amp;'AEA2012 update'!$B$6:$B$104,0),MATCH(AN$16,'AEA2012 update'!$AC$4:$AG$4,0)))</f>
        <v>4.5508822132460063</v>
      </c>
      <c r="AO40" s="67">
        <f t="array" ref="AO40">IF($AE$1,AN40*(1+INDEX(AO$1:AO$2,MATCH($O40,$AI$1:$AI$2,0)))^(AO$16-AN$16),INDEX('AEA2012 update'!$AC$6:$AG$104,MATCH($T40&amp;$U40,'AEA2012 update'!$A$6:$A$104&amp;'AEA2012 update'!$B$6:$B$104,0),MATCH(AO$16,'AEA2012 update'!$AC$4:$AG$4,0)))</f>
        <v>4.1157362991360831</v>
      </c>
      <c r="AP40" s="67">
        <f t="array" ref="AP40">IF($AE$1,AO40*(1+INDEX(AP$1:AP$2,MATCH($O40,$AI$1:$AI$2,0)))^(AP$16-AO$16),INDEX('AEA2012 update'!$AC$6:$AG$104,MATCH($T40&amp;$U40,'AEA2012 update'!$A$6:$A$104&amp;'AEA2012 update'!$B$6:$B$104,0),MATCH(AP$16,'AEA2012 update'!$AC$4:$AG$4,0)))</f>
        <v>3.7221981344017476</v>
      </c>
      <c r="AQ40" s="67"/>
      <c r="AR40" s="274">
        <f t="shared" si="10"/>
        <v>-4.9750416666666337E-3</v>
      </c>
      <c r="AS40" s="274">
        <f t="shared" si="11"/>
        <v>-8.0468874575123986E-3</v>
      </c>
      <c r="AY40" s="61" t="str">
        <f t="shared" si="12"/>
        <v>MBT-OGS</v>
      </c>
      <c r="AZ40" s="80" t="e" cm="1">
        <f t="array" aca="1" ref="AZ40" ca="1">AL40/INDIRECT("cv."&amp;LEFT($U40,6)&amp;".hhv.MJL") * 100</f>
        <v>#REF!</v>
      </c>
      <c r="BA40" s="80" t="e" cm="1">
        <f t="array" aca="1" ref="BA40" ca="1">AM40/INDIRECT("cv."&amp;LEFT($U40,6)&amp;".hhv.MJL") * 100</f>
        <v>#REF!</v>
      </c>
      <c r="BB40" s="80" t="e" cm="1">
        <f t="array" aca="1" ref="BB40" ca="1">AN40/INDIRECT("cv."&amp;LEFT($U40,6)&amp;".hhv.MJL") * 100</f>
        <v>#REF!</v>
      </c>
      <c r="BC40" s="80" t="e" cm="1">
        <f t="array" aca="1" ref="BC40" ca="1">AO40/INDIRECT("cv."&amp;LEFT($U40,6)&amp;".hhv.MJL") * 100</f>
        <v>#REF!</v>
      </c>
      <c r="BD40" s="80" t="e" cm="1">
        <f t="array" aca="1" ref="BD40" ca="1">AP40/INDIRECT("cv."&amp;LEFT($U40,6)&amp;".hhv.MJL") * 100</f>
        <v>#REF!</v>
      </c>
    </row>
    <row r="41" spans="1:56" x14ac:dyDescent="0.25">
      <c r="A41" s="276" t="s">
        <v>707</v>
      </c>
      <c r="C41" s="195" t="s">
        <v>708</v>
      </c>
      <c r="D41" s="61" t="s">
        <v>705</v>
      </c>
      <c r="E41" s="61" t="s">
        <v>706</v>
      </c>
      <c r="F41" s="61">
        <v>24000</v>
      </c>
      <c r="N41" s="61" t="s">
        <v>506</v>
      </c>
      <c r="O41" s="61" t="s">
        <v>613</v>
      </c>
      <c r="P41" s="61" t="s">
        <v>61</v>
      </c>
      <c r="Q41" s="61" t="str">
        <f t="shared" si="7"/>
        <v>MBT</v>
      </c>
      <c r="R41" s="61" t="s">
        <v>680</v>
      </c>
      <c r="S41" s="65"/>
      <c r="T41" s="273" t="s">
        <v>701</v>
      </c>
      <c r="U41" s="957" t="s">
        <v>680</v>
      </c>
      <c r="V41" s="965"/>
      <c r="W41" s="958">
        <f t="shared" si="15"/>
        <v>0</v>
      </c>
      <c r="X41" s="959">
        <f t="shared" si="15"/>
        <v>0</v>
      </c>
      <c r="Y41" s="959">
        <f t="shared" si="15"/>
        <v>0</v>
      </c>
      <c r="Z41" s="959">
        <f t="shared" si="15"/>
        <v>0</v>
      </c>
      <c r="AA41" s="959">
        <f t="shared" si="15"/>
        <v>0</v>
      </c>
      <c r="AB41" s="959">
        <f t="shared" si="15"/>
        <v>0</v>
      </c>
      <c r="AC41" s="960">
        <f t="shared" si="15"/>
        <v>0</v>
      </c>
      <c r="AD41" s="103" cm="1">
        <f t="array" ref="AD41">IF(W41,INDEX('AEA2012 update'!$K$6:$R$104,MATCH($T41&amp;$R41,'AEA2012 update'!$A$6:$A$104&amp;'AEA2012 update'!$B$6:$B$104,0),MATCH(AD$16,'AEA2012 update'!$S$4:$Z$4,0)),INDEX('AEA2012 update'!$K$6:$R$104,MATCH($T41&amp;$U41,'AEA2012 update'!$A$6:$A$104&amp;'AEA2012 update'!$B$6:$B$104,0),MATCH(AD$16,'AEA2012 update'!$S$4:$Z$4,0)))</f>
        <v>322554.53757929691</v>
      </c>
      <c r="AE41" s="103" cm="1">
        <f t="array" ref="AE41">IF(X41,INDEX('AEA2012 update'!$K$6:$R$104,MATCH($T41&amp;$R41,'AEA2012 update'!$A$6:$A$104&amp;'AEA2012 update'!$B$6:$B$104,0),MATCH(AE$16,'AEA2012 update'!$S$4:$Z$4,0)),INDEX('AEA2012 update'!$K$6:$R$104,MATCH($T41&amp;$U41,'AEA2012 update'!$A$6:$A$104&amp;'AEA2012 update'!$B$6:$B$104,0),MATCH(AE$16,'AEA2012 update'!$S$4:$Z$4,0)))</f>
        <v>350637.87759734597</v>
      </c>
      <c r="AF41" s="103" cm="1">
        <f t="array" ref="AF41">IF(Y41,INDEX('AEA2012 update'!$K$6:$R$104,MATCH($T41&amp;$R41,'AEA2012 update'!$A$6:$A$104&amp;'AEA2012 update'!$B$6:$B$104,0),MATCH(AF$16,'AEA2012 update'!$S$4:$Z$4,0)),INDEX('AEA2012 update'!$K$6:$R$104,MATCH($T41&amp;$U41,'AEA2012 update'!$A$6:$A$104&amp;'AEA2012 update'!$B$6:$B$104,0),MATCH(AF$16,'AEA2012 update'!$S$4:$Z$4,0)))</f>
        <v>357099.62238446943</v>
      </c>
      <c r="AG41" s="103" cm="1">
        <f t="array" ref="AG41">IF(Z41,INDEX('AEA2012 update'!$K$6:$R$104,MATCH($T41&amp;$R41,'AEA2012 update'!$A$6:$A$104&amp;'AEA2012 update'!$B$6:$B$104,0),MATCH(AG$16,'AEA2012 update'!$S$4:$Z$4,0)),INDEX('AEA2012 update'!$K$6:$R$104,MATCH($T41&amp;$U41,'AEA2012 update'!$A$6:$A$104&amp;'AEA2012 update'!$B$6:$B$104,0),MATCH(AG$16,'AEA2012 update'!$S$4:$Z$4,0)))</f>
        <v>363561.36717159278</v>
      </c>
      <c r="AH41" s="103" cm="1">
        <f t="array" ref="AH41">IF(AA41,INDEX('AEA2012 update'!$K$6:$R$104,MATCH($T41&amp;$R41,'AEA2012 update'!$A$6:$A$104&amp;'AEA2012 update'!$B$6:$B$104,0),MATCH(AH$16,'AEA2012 update'!$S$4:$Z$4,0)),INDEX('AEA2012 update'!$K$6:$R$104,MATCH($T41&amp;$U41,'AEA2012 update'!$A$6:$A$104&amp;'AEA2012 update'!$B$6:$B$104,0),MATCH(AH$16,'AEA2012 update'!$S$4:$Z$4,0)))</f>
        <v>371500.85823323019</v>
      </c>
      <c r="AI41" s="103" cm="1">
        <f t="array" ref="AI41">IF(AB41,INDEX('AEA2012 update'!$K$6:$R$104,MATCH($T41&amp;$R41,'AEA2012 update'!$A$6:$A$104&amp;'AEA2012 update'!$B$6:$B$104,0),MATCH(AI$16,'AEA2012 update'!$S$4:$Z$4,0)),INDEX('AEA2012 update'!$K$6:$R$104,MATCH($T41&amp;$U41,'AEA2012 update'!$A$6:$A$104&amp;'AEA2012 update'!$B$6:$B$104,0),MATCH(AI$16,'AEA2012 update'!$S$4:$Z$4,0)))</f>
        <v>379440.3492948676</v>
      </c>
      <c r="AJ41" s="103" cm="1">
        <f t="array" ref="AJ41">IF(AC41,INDEX('AEA2012 update'!$K$6:$R$104,MATCH($T41&amp;$R41,'AEA2012 update'!$A$6:$A$104&amp;'AEA2012 update'!$B$6:$B$104,0),MATCH(AJ$16,'AEA2012 update'!$S$4:$Z$4,0)),INDEX('AEA2012 update'!$K$6:$R$104,MATCH($T41&amp;$U41,'AEA2012 update'!$A$6:$A$104&amp;'AEA2012 update'!$B$6:$B$104,0),MATCH(AJ$16,'AEA2012 update'!$S$4:$Z$4,0)))</f>
        <v>387396.22422821133</v>
      </c>
      <c r="AK41" s="103" t="str">
        <f t="shared" si="13"/>
        <v>MBTBGS</v>
      </c>
      <c r="AL41" s="67">
        <f>INDEX('Vehicle data '!$AD$20:$AD$110,MATCH($AK41,'Vehicle data '!$AC$20:$AC$110,0))/INDEX('Vehicle data '!$AD$20:$AD$110,MATCH($AK$40,'Vehicle data '!$AC$20:$AC$110,0))*AL$40</f>
        <v>4.9810534104362922</v>
      </c>
      <c r="AM41" s="67">
        <f t="array" ref="AM41">IF($AE$1,AL41*(1+INDEX(AM$1:AM$2,MATCH($O41,$AI$1:$AI$2,0)))^(AM$16-AL$16),INDEX('AEA2012 update'!$AC$6:$AG$104,MATCH($T41&amp;$U41,'AEA2012 update'!$A$6:$A$104&amp;'AEA2012 update'!$B$6:$B$104,0),MATCH(AM$16,'AEA2012 update'!$AC$4:$AG$4,0)))</f>
        <v>4.9067105656538548</v>
      </c>
      <c r="AN41" s="67">
        <f t="array" ref="AN41">IF($AE$1,AM41*(1+INDEX(AN$1:AN$2,MATCH($O41,$AI$1:$AI$2,0)))^(AN$16-AM$16),INDEX('AEA2012 update'!$AC$6:$AG$104,MATCH($T41&amp;$U41,'AEA2012 update'!$A$6:$A$104&amp;'AEA2012 update'!$B$6:$B$104,0),MATCH(AN$16,'AEA2012 update'!$AC$4:$AG$4,0)))</f>
        <v>4.5508822132460063</v>
      </c>
      <c r="AO41" s="67">
        <f t="array" ref="AO41">IF($AE$1,AN41*(1+INDEX(AO$1:AO$2,MATCH($O41,$AI$1:$AI$2,0)))^(AO$16-AN$16),INDEX('AEA2012 update'!$AC$6:$AG$104,MATCH($T41&amp;$U41,'AEA2012 update'!$A$6:$A$104&amp;'AEA2012 update'!$B$6:$B$104,0),MATCH(AO$16,'AEA2012 update'!$AC$4:$AG$4,0)))</f>
        <v>4.1157362991360831</v>
      </c>
      <c r="AP41" s="67">
        <f t="array" ref="AP41">IF($AE$1,AO41*(1+INDEX(AP$1:AP$2,MATCH($O41,$AI$1:$AI$2,0)))^(AP$16-AO$16),INDEX('AEA2012 update'!$AC$6:$AG$104,MATCH($T41&amp;$U41,'AEA2012 update'!$A$6:$A$104&amp;'AEA2012 update'!$B$6:$B$104,0),MATCH(AP$16,'AEA2012 update'!$AC$4:$AG$4,0)))</f>
        <v>3.7221981344017476</v>
      </c>
      <c r="AQ41" s="67"/>
      <c r="AR41" s="274">
        <f t="shared" si="10"/>
        <v>-4.9750416666666337E-3</v>
      </c>
      <c r="AS41" s="274">
        <f t="shared" si="11"/>
        <v>-8.0468874575123986E-3</v>
      </c>
      <c r="AY41" s="61" t="str">
        <f t="shared" si="12"/>
        <v>MBT-BGS</v>
      </c>
      <c r="AZ41" s="80" t="e" cm="1">
        <f t="array" aca="1" ref="AZ41" ca="1">AL41/INDIRECT("cv."&amp;LEFT($U41,6)&amp;".hhv.MJL") * 100</f>
        <v>#REF!</v>
      </c>
      <c r="BA41" s="80" t="e" cm="1">
        <f t="array" aca="1" ref="BA41" ca="1">AM41/INDIRECT("cv."&amp;LEFT($U41,6)&amp;".hhv.MJL") * 100</f>
        <v>#REF!</v>
      </c>
      <c r="BB41" s="80" t="e" cm="1">
        <f t="array" aca="1" ref="BB41" ca="1">AN41/INDIRECT("cv."&amp;LEFT($U41,6)&amp;".hhv.MJL") * 100</f>
        <v>#REF!</v>
      </c>
      <c r="BC41" s="80" t="e" cm="1">
        <f t="array" aca="1" ref="BC41" ca="1">AO41/INDIRECT("cv."&amp;LEFT($U41,6)&amp;".hhv.MJL") * 100</f>
        <v>#REF!</v>
      </c>
      <c r="BD41" s="80" t="e" cm="1">
        <f t="array" aca="1" ref="BD41" ca="1">AP41/INDIRECT("cv."&amp;LEFT($U41,6)&amp;".hhv.MJL") * 100</f>
        <v>#REF!</v>
      </c>
    </row>
    <row r="42" spans="1:56" x14ac:dyDescent="0.25">
      <c r="A42" s="210" t="s">
        <v>709</v>
      </c>
      <c r="C42" s="195" t="s">
        <v>710</v>
      </c>
      <c r="D42" s="61" t="s">
        <v>705</v>
      </c>
      <c r="E42" s="61" t="s">
        <v>706</v>
      </c>
      <c r="F42" s="61">
        <v>40000</v>
      </c>
      <c r="N42" s="61" t="s">
        <v>511</v>
      </c>
      <c r="O42" s="61" t="s">
        <v>613</v>
      </c>
      <c r="P42" s="61" t="s">
        <v>61</v>
      </c>
      <c r="Q42" s="61" t="str">
        <f t="shared" si="7"/>
        <v>MBT</v>
      </c>
      <c r="R42" s="61" t="s">
        <v>680</v>
      </c>
      <c r="S42" s="65"/>
      <c r="T42" s="273" t="s">
        <v>701</v>
      </c>
      <c r="U42" s="957" t="s">
        <v>687</v>
      </c>
      <c r="V42" s="965">
        <v>2030</v>
      </c>
      <c r="W42" s="958">
        <f t="shared" si="15"/>
        <v>0</v>
      </c>
      <c r="X42" s="959">
        <f t="shared" si="15"/>
        <v>0</v>
      </c>
      <c r="Y42" s="959">
        <f t="shared" si="15"/>
        <v>0</v>
      </c>
      <c r="Z42" s="959">
        <f t="shared" si="15"/>
        <v>1</v>
      </c>
      <c r="AA42" s="959">
        <f t="shared" si="15"/>
        <v>1</v>
      </c>
      <c r="AB42" s="959">
        <f t="shared" si="15"/>
        <v>1</v>
      </c>
      <c r="AC42" s="960">
        <f t="shared" si="15"/>
        <v>1</v>
      </c>
      <c r="AD42" s="103" cm="1">
        <f t="array" ref="AD42">IF(W42,INDEX('AEA2012 update'!$K$6:$R$104,MATCH($T42&amp;$R42,'AEA2012 update'!$A$6:$A$104&amp;'AEA2012 update'!$B$6:$B$104,0),MATCH(AD$16,'AEA2012 update'!$S$4:$Z$4,0)),INDEX('AEA2012 update'!$K$6:$R$104,MATCH($T42&amp;$U42,'AEA2012 update'!$A$6:$A$104&amp;'AEA2012 update'!$B$6:$B$104,0),MATCH(AD$16,'AEA2012 update'!$S$4:$Z$4,0)))</f>
        <v>449299.91329948109</v>
      </c>
      <c r="AE42" s="103" cm="1">
        <f t="array" ref="AE42">IF(X42,INDEX('AEA2012 update'!$K$6:$R$104,MATCH($T42&amp;$R42,'AEA2012 update'!$A$6:$A$104&amp;'AEA2012 update'!$B$6:$B$104,0),MATCH(AE$16,'AEA2012 update'!$S$4:$Z$4,0)),INDEX('AEA2012 update'!$K$6:$R$104,MATCH($T42&amp;$U42,'AEA2012 update'!$A$6:$A$104&amp;'AEA2012 update'!$B$6:$B$104,0),MATCH(AE$16,'AEA2012 update'!$S$4:$Z$4,0)))</f>
        <v>496024.31464990409</v>
      </c>
      <c r="AF42" s="103" cm="1">
        <f t="array" ref="AF42">IF(Y42,INDEX('AEA2012 update'!$K$6:$R$104,MATCH($T42&amp;$R42,'AEA2012 update'!$A$6:$A$104&amp;'AEA2012 update'!$B$6:$B$104,0),MATCH(AF$16,'AEA2012 update'!$S$4:$Z$4,0)),INDEX('AEA2012 update'!$K$6:$R$104,MATCH($T42&amp;$U42,'AEA2012 update'!$A$6:$A$104&amp;'AEA2012 update'!$B$6:$B$104,0),MATCH(AF$16,'AEA2012 update'!$S$4:$Z$4,0)))</f>
        <v>504862.6389695133</v>
      </c>
      <c r="AG42" s="103" cm="1">
        <f t="array" ref="AG42">IF(Z42,INDEX('AEA2012 update'!$K$6:$R$104,MATCH($T42&amp;$R42,'AEA2012 update'!$A$6:$A$104&amp;'AEA2012 update'!$B$6:$B$104,0),MATCH(AG$16,'AEA2012 update'!$S$4:$Z$4,0)),INDEX('AEA2012 update'!$K$6:$R$104,MATCH($T42&amp;$U42,'AEA2012 update'!$A$6:$A$104&amp;'AEA2012 update'!$B$6:$B$104,0),MATCH(AG$16,'AEA2012 update'!$S$4:$Z$4,0)))</f>
        <v>363561.36717159278</v>
      </c>
      <c r="AH42" s="103" cm="1">
        <f t="array" ref="AH42">IF(AA42,INDEX('AEA2012 update'!$K$6:$R$104,MATCH($T42&amp;$R42,'AEA2012 update'!$A$6:$A$104&amp;'AEA2012 update'!$B$6:$B$104,0),MATCH(AH$16,'AEA2012 update'!$S$4:$Z$4,0)),INDEX('AEA2012 update'!$K$6:$R$104,MATCH($T42&amp;$U42,'AEA2012 update'!$A$6:$A$104&amp;'AEA2012 update'!$B$6:$B$104,0),MATCH(AH$16,'AEA2012 update'!$S$4:$Z$4,0)))</f>
        <v>371500.85823323019</v>
      </c>
      <c r="AI42" s="103" cm="1">
        <f t="array" ref="AI42">IF(AB42,INDEX('AEA2012 update'!$K$6:$R$104,MATCH($T42&amp;$R42,'AEA2012 update'!$A$6:$A$104&amp;'AEA2012 update'!$B$6:$B$104,0),MATCH(AI$16,'AEA2012 update'!$S$4:$Z$4,0)),INDEX('AEA2012 update'!$K$6:$R$104,MATCH($T42&amp;$U42,'AEA2012 update'!$A$6:$A$104&amp;'AEA2012 update'!$B$6:$B$104,0),MATCH(AI$16,'AEA2012 update'!$S$4:$Z$4,0)))</f>
        <v>379440.3492948676</v>
      </c>
      <c r="AJ42" s="103" cm="1">
        <f t="array" ref="AJ42">IF(AC42,INDEX('AEA2012 update'!$K$6:$R$104,MATCH($T42&amp;$R42,'AEA2012 update'!$A$6:$A$104&amp;'AEA2012 update'!$B$6:$B$104,0),MATCH(AJ$16,'AEA2012 update'!$S$4:$Z$4,0)),INDEX('AEA2012 update'!$K$6:$R$104,MATCH($T42&amp;$U42,'AEA2012 update'!$A$6:$A$104&amp;'AEA2012 update'!$B$6:$B$104,0),MATCH(AJ$16,'AEA2012 update'!$S$4:$Z$4,0)))</f>
        <v>387396.22422821133</v>
      </c>
      <c r="AK42" s="103" t="str">
        <f t="shared" si="13"/>
        <v>MBTODS</v>
      </c>
      <c r="AL42" s="67">
        <f>1/INDEX(Analytica!$AA$17:$AE$48,MATCH($AK42,Analytica!$A$17:$A$48,0),MATCH(AL$16,Analytica!$AA$16:$AE$16,0))</f>
        <v>4.2205316616343254</v>
      </c>
      <c r="AM42" s="67">
        <f t="array" ref="AM42">IF($AE$1,AL42*(1+INDEX(AM$1:AM$2,MATCH($O42,$AI$1:$AI$2,0)))^(AM$16-AL$16),INDEX('AEA2012 update'!$AC$6:$AG$104,MATCH($T42&amp;$U42,'AEA2012 update'!$A$6:$A$104&amp;'AEA2012 update'!$B$6:$B$104,0),MATCH(AM$16,'AEA2012 update'!$AC$4:$AG$4,0)))</f>
        <v>4.1575396990179758</v>
      </c>
      <c r="AN42" s="67">
        <f t="array" ref="AN42">IF($AE$1,AM42*(1+INDEX(AN$1:AN$2,MATCH($O42,$AI$1:$AI$2,0)))^(AN$16-AM$16),INDEX('AEA2012 update'!$AC$6:$AG$104,MATCH($T42&amp;$U42,'AEA2012 update'!$A$6:$A$104&amp;'AEA2012 update'!$B$6:$B$104,0),MATCH(AN$16,'AEA2012 update'!$AC$4:$AG$4,0)))</f>
        <v>3.8560402562900649</v>
      </c>
      <c r="AO42" s="67">
        <f t="array" ref="AO42">IF($AE$1,AN42*(1+INDEX(AO$1:AO$2,MATCH($O42,$AI$1:$AI$2,0)))^(AO$16-AN$16),INDEX('AEA2012 update'!$AC$6:$AG$104,MATCH($T42&amp;$U42,'AEA2012 update'!$A$6:$A$104&amp;'AEA2012 update'!$B$6:$B$104,0),MATCH(AO$16,'AEA2012 update'!$AC$4:$AG$4,0)))</f>
        <v>3.4873336883010904</v>
      </c>
      <c r="AP42" s="67">
        <f t="array" ref="AP42">IF($AE$1,AO42*(1+INDEX(AP$1:AP$2,MATCH($O42,$AI$1:$AI$2,0)))^(AP$16-AO$16),INDEX('AEA2012 update'!$AC$6:$AG$104,MATCH($T42&amp;$U42,'AEA2012 update'!$A$6:$A$104&amp;'AEA2012 update'!$B$6:$B$104,0),MATCH(AP$16,'AEA2012 update'!$AC$4:$AG$4,0)))</f>
        <v>3.1538820772738467</v>
      </c>
      <c r="AQ42" s="67"/>
      <c r="AR42" s="274">
        <f t="shared" si="10"/>
        <v>-4.9750416666666294E-3</v>
      </c>
      <c r="AS42" s="274">
        <f t="shared" si="11"/>
        <v>-8.0468874575124021E-3</v>
      </c>
      <c r="AY42" s="61" t="str">
        <f t="shared" si="12"/>
        <v>MBT-ODS</v>
      </c>
      <c r="AZ42" s="80" t="e" cm="1">
        <f t="array" aca="1" ref="AZ42" ca="1">AL42/INDIRECT("cv."&amp;LEFT($U42,6)&amp;".hhv.MJL") * 100</f>
        <v>#REF!</v>
      </c>
      <c r="BA42" s="80" t="e" cm="1">
        <f t="array" aca="1" ref="BA42" ca="1">AM42/INDIRECT("cv."&amp;LEFT($U42,6)&amp;".hhv.MJL") * 100</f>
        <v>#REF!</v>
      </c>
      <c r="BB42" s="80" t="e" cm="1">
        <f t="array" aca="1" ref="BB42" ca="1">AN42/INDIRECT("cv."&amp;LEFT($U42,6)&amp;".hhv.MJL") * 100</f>
        <v>#REF!</v>
      </c>
      <c r="BC42" s="80" t="e" cm="1">
        <f t="array" aca="1" ref="BC42" ca="1">AO42/INDIRECT("cv."&amp;LEFT($U42,6)&amp;".hhv.MJL") * 100</f>
        <v>#REF!</v>
      </c>
      <c r="BD42" s="80" t="e" cm="1">
        <f t="array" aca="1" ref="BD42" ca="1">AP42/INDIRECT("cv."&amp;LEFT($U42,6)&amp;".hhv.MJL") * 100</f>
        <v>#REF!</v>
      </c>
    </row>
    <row r="43" spans="1:56" x14ac:dyDescent="0.25">
      <c r="A43" s="210">
        <v>4</v>
      </c>
      <c r="C43" s="195" t="s">
        <v>711</v>
      </c>
      <c r="D43" s="61" t="s">
        <v>705</v>
      </c>
      <c r="E43" s="61" t="s">
        <v>706</v>
      </c>
      <c r="F43" s="61">
        <v>22000</v>
      </c>
      <c r="N43" s="61" t="s">
        <v>501</v>
      </c>
      <c r="O43" s="61" t="s">
        <v>613</v>
      </c>
      <c r="P43" s="61" t="s">
        <v>61</v>
      </c>
      <c r="Q43" s="61" t="str">
        <f t="shared" si="7"/>
        <v>MBT</v>
      </c>
      <c r="R43" s="61" t="s">
        <v>680</v>
      </c>
      <c r="S43" s="65"/>
      <c r="T43" s="273" t="s">
        <v>701</v>
      </c>
      <c r="U43" s="957" t="s">
        <v>692</v>
      </c>
      <c r="V43" s="965">
        <v>2035</v>
      </c>
      <c r="W43" s="958">
        <f t="shared" si="15"/>
        <v>0</v>
      </c>
      <c r="X43" s="959">
        <f t="shared" si="15"/>
        <v>0</v>
      </c>
      <c r="Y43" s="959">
        <f t="shared" si="15"/>
        <v>0</v>
      </c>
      <c r="Z43" s="959">
        <f t="shared" si="15"/>
        <v>0</v>
      </c>
      <c r="AA43" s="959">
        <f t="shared" si="15"/>
        <v>1</v>
      </c>
      <c r="AB43" s="959">
        <f t="shared" si="15"/>
        <v>1</v>
      </c>
      <c r="AC43" s="960">
        <f t="shared" si="15"/>
        <v>1</v>
      </c>
      <c r="AD43" s="103" cm="1">
        <f t="array" ref="AD43">IF(W43,INDEX('AEA2012 update'!$K$6:$R$104,MATCH($T43&amp;$R43,'AEA2012 update'!$A$6:$A$104&amp;'AEA2012 update'!$B$6:$B$104,0),MATCH(AD$16,'AEA2012 update'!$S$4:$Z$4,0)),INDEX('AEA2012 update'!$K$6:$R$104,MATCH($T43&amp;$U43,'AEA2012 update'!$A$6:$A$104&amp;'AEA2012 update'!$B$6:$B$104,0),MATCH(AD$16,'AEA2012 update'!$S$4:$Z$4,0)))</f>
        <v>1600432.9336289039</v>
      </c>
      <c r="AE43" s="103" cm="1">
        <f t="array" ref="AE43">IF(X43,INDEX('AEA2012 update'!$K$6:$R$104,MATCH($T43&amp;$R43,'AEA2012 update'!$A$6:$A$104&amp;'AEA2012 update'!$B$6:$B$104,0),MATCH(AE$16,'AEA2012 update'!$S$4:$Z$4,0)),INDEX('AEA2012 update'!$K$6:$R$104,MATCH($T43&amp;$U43,'AEA2012 update'!$A$6:$A$104&amp;'AEA2012 update'!$B$6:$B$104,0),MATCH(AE$16,'AEA2012 update'!$S$4:$Z$4,0)))</f>
        <v>1094588.8281386418</v>
      </c>
      <c r="AF43" s="103" cm="1">
        <f t="array" ref="AF43">IF(Y43,INDEX('AEA2012 update'!$K$6:$R$104,MATCH($T43&amp;$R43,'AEA2012 update'!$A$6:$A$104&amp;'AEA2012 update'!$B$6:$B$104,0),MATCH(AF$16,'AEA2012 update'!$S$4:$Z$4,0)),INDEX('AEA2012 update'!$K$6:$R$104,MATCH($T43&amp;$U43,'AEA2012 update'!$A$6:$A$104&amp;'AEA2012 update'!$B$6:$B$104,0),MATCH(AF$16,'AEA2012 update'!$S$4:$Z$4,0)))</f>
        <v>1007085.3648438302</v>
      </c>
      <c r="AG43" s="103" cm="1">
        <f t="array" ref="AG43">IF(Z43,INDEX('AEA2012 update'!$K$6:$R$104,MATCH($T43&amp;$R43,'AEA2012 update'!$A$6:$A$104&amp;'AEA2012 update'!$B$6:$B$104,0),MATCH(AG$16,'AEA2012 update'!$S$4:$Z$4,0)),INDEX('AEA2012 update'!$K$6:$R$104,MATCH($T43&amp;$U43,'AEA2012 update'!$A$6:$A$104&amp;'AEA2012 update'!$B$6:$B$104,0),MATCH(AG$16,'AEA2012 update'!$S$4:$Z$4,0)))</f>
        <v>919581.90154901845</v>
      </c>
      <c r="AH43" s="103" cm="1">
        <f t="array" ref="AH43">IF(AA43,INDEX('AEA2012 update'!$K$6:$R$104,MATCH($T43&amp;$R43,'AEA2012 update'!$A$6:$A$104&amp;'AEA2012 update'!$B$6:$B$104,0),MATCH(AH$16,'AEA2012 update'!$S$4:$Z$4,0)),INDEX('AEA2012 update'!$K$6:$R$104,MATCH($T43&amp;$U43,'AEA2012 update'!$A$6:$A$104&amp;'AEA2012 update'!$B$6:$B$104,0),MATCH(AH$16,'AEA2012 update'!$S$4:$Z$4,0)))</f>
        <v>371500.85823323019</v>
      </c>
      <c r="AI43" s="103" cm="1">
        <f t="array" ref="AI43">IF(AB43,INDEX('AEA2012 update'!$K$6:$R$104,MATCH($T43&amp;$R43,'AEA2012 update'!$A$6:$A$104&amp;'AEA2012 update'!$B$6:$B$104,0),MATCH(AI$16,'AEA2012 update'!$S$4:$Z$4,0)),INDEX('AEA2012 update'!$K$6:$R$104,MATCH($T43&amp;$U43,'AEA2012 update'!$A$6:$A$104&amp;'AEA2012 update'!$B$6:$B$104,0),MATCH(AI$16,'AEA2012 update'!$S$4:$Z$4,0)))</f>
        <v>379440.3492948676</v>
      </c>
      <c r="AJ43" s="103" cm="1">
        <f t="array" ref="AJ43">IF(AC43,INDEX('AEA2012 update'!$K$6:$R$104,MATCH($T43&amp;$R43,'AEA2012 update'!$A$6:$A$104&amp;'AEA2012 update'!$B$6:$B$104,0),MATCH(AJ$16,'AEA2012 update'!$S$4:$Z$4,0)),INDEX('AEA2012 update'!$K$6:$R$104,MATCH($T43&amp;$U43,'AEA2012 update'!$A$6:$A$104&amp;'AEA2012 update'!$B$6:$B$104,0),MATCH(AJ$16,'AEA2012 update'!$S$4:$Z$4,0)))</f>
        <v>387396.22422821133</v>
      </c>
      <c r="AK43" s="103" t="str">
        <f t="shared" si="13"/>
        <v>MBTELC</v>
      </c>
      <c r="AL43" s="67">
        <f>INDEX('Vehicle data '!$AD$20:$AD$110,MATCH($AK43,'Vehicle data '!$AC$20:$AC$110,0))/INDEX('Vehicle data '!$AD$20:$AD$110,MATCH($AK$40,'Vehicle data '!$AC$20:$AC$110,0))*AL$40</f>
        <v>1.2464721438132793</v>
      </c>
      <c r="AM43" s="67">
        <f t="array" ref="AM43">IF($AE$1,AL43*(1+INDEX(AM$1:AM$2,MATCH($O43,$AI$1:$AI$2,0)))^(AM$16-AL$16),INDEX('AEA2012 update'!$AC$6:$AG$104,MATCH($T43&amp;$U43,'AEA2012 update'!$A$6:$A$104&amp;'AEA2012 update'!$B$6:$B$104,0),MATCH(AM$16,'AEA2012 update'!$AC$4:$AG$4,0)))</f>
        <v>1.2278683912578481</v>
      </c>
      <c r="AN43" s="67">
        <f t="array" ref="AN43">IF($AE$1,AM43*(1+INDEX(AN$1:AN$2,MATCH($O43,$AI$1:$AI$2,0)))^(AN$16-AM$16),INDEX('AEA2012 update'!$AC$6:$AG$104,MATCH($T43&amp;$U43,'AEA2012 update'!$A$6:$A$104&amp;'AEA2012 update'!$B$6:$B$104,0),MATCH(AN$16,'AEA2012 update'!$AC$4:$AG$4,0)))</f>
        <v>1.1388249515055109</v>
      </c>
      <c r="AO43" s="67">
        <f t="array" ref="AO43">IF($AE$1,AN43*(1+INDEX(AO$1:AO$2,MATCH($O43,$AI$1:$AI$2,0)))^(AO$16-AN$16),INDEX('AEA2012 update'!$AC$6:$AG$104,MATCH($T43&amp;$U43,'AEA2012 update'!$A$6:$A$104&amp;'AEA2012 update'!$B$6:$B$104,0),MATCH(AO$16,'AEA2012 update'!$AC$4:$AG$4,0)))</f>
        <v>1.0299328727143549</v>
      </c>
      <c r="AP43" s="67">
        <f t="array" ref="AP43">IF($AE$1,AO43*(1+INDEX(AP$1:AP$2,MATCH($O43,$AI$1:$AI$2,0)))^(AP$16-AO$16),INDEX('AEA2012 update'!$AC$6:$AG$104,MATCH($T43&amp;$U43,'AEA2012 update'!$A$6:$A$104&amp;'AEA2012 update'!$B$6:$B$104,0),MATCH(AP$16,'AEA2012 update'!$AC$4:$AG$4,0)))</f>
        <v>0.93145282854518696</v>
      </c>
      <c r="AQ43" s="67"/>
      <c r="AR43" s="274">
        <f t="shared" si="10"/>
        <v>-4.9750416666666823E-3</v>
      </c>
      <c r="AS43" s="274">
        <f t="shared" si="11"/>
        <v>-8.0468874575123986E-3</v>
      </c>
      <c r="AY43" s="61" t="str">
        <f t="shared" si="12"/>
        <v>MBT-ELC</v>
      </c>
      <c r="AZ43" s="80" t="e" cm="1">
        <f t="array" aca="1" ref="AZ43" ca="1">AL43/INDIRECT("cv."&amp;LEFT($U43,6)&amp;".hhv.MJL") * 100</f>
        <v>#REF!</v>
      </c>
      <c r="BA43" s="80" t="e" cm="1">
        <f t="array" aca="1" ref="BA43" ca="1">AM43/INDIRECT("cv."&amp;LEFT($U43,6)&amp;".hhv.MJL") * 100</f>
        <v>#REF!</v>
      </c>
      <c r="BB43" s="80" t="e" cm="1">
        <f t="array" aca="1" ref="BB43" ca="1">AN43/INDIRECT("cv."&amp;LEFT($U43,6)&amp;".hhv.MJL") * 100</f>
        <v>#REF!</v>
      </c>
      <c r="BC43" s="80" t="e" cm="1">
        <f t="array" aca="1" ref="BC43" ca="1">AO43/INDIRECT("cv."&amp;LEFT($U43,6)&amp;".hhv.MJL") * 100</f>
        <v>#REF!</v>
      </c>
      <c r="BD43" s="80" t="e" cm="1">
        <f t="array" aca="1" ref="BD43" ca="1">AP43/INDIRECT("cv."&amp;LEFT($U43,6)&amp;".hhv.MJL") * 100</f>
        <v>#REF!</v>
      </c>
    </row>
    <row r="44" spans="1:56" x14ac:dyDescent="0.25">
      <c r="A44" s="210"/>
      <c r="C44" s="195" t="s">
        <v>60</v>
      </c>
      <c r="D44" s="61" t="s">
        <v>705</v>
      </c>
      <c r="E44" s="61" t="s">
        <v>706</v>
      </c>
      <c r="F44" s="61">
        <v>15000</v>
      </c>
      <c r="N44" s="61" t="s">
        <v>504</v>
      </c>
      <c r="O44" s="61" t="s">
        <v>613</v>
      </c>
      <c r="P44" s="61" t="s">
        <v>61</v>
      </c>
      <c r="Q44" s="61" t="str">
        <f t="shared" si="7"/>
        <v>MBT</v>
      </c>
      <c r="R44" s="61" t="s">
        <v>680</v>
      </c>
      <c r="S44" s="65"/>
      <c r="T44" s="273" t="s">
        <v>701</v>
      </c>
      <c r="U44" s="957" t="s">
        <v>699</v>
      </c>
      <c r="V44" s="965">
        <v>2050</v>
      </c>
      <c r="W44" s="958">
        <f t="shared" si="15"/>
        <v>0</v>
      </c>
      <c r="X44" s="959">
        <f t="shared" si="15"/>
        <v>0</v>
      </c>
      <c r="Y44" s="959">
        <f t="shared" si="15"/>
        <v>0</v>
      </c>
      <c r="Z44" s="959">
        <f t="shared" si="15"/>
        <v>0</v>
      </c>
      <c r="AA44" s="959">
        <f t="shared" si="15"/>
        <v>0</v>
      </c>
      <c r="AB44" s="959">
        <f t="shared" si="15"/>
        <v>0</v>
      </c>
      <c r="AC44" s="960">
        <f t="shared" si="15"/>
        <v>1</v>
      </c>
      <c r="AD44" s="103" cm="1">
        <f t="array" ref="AD44">IF(W44,INDEX('AEA2012 update'!$K$6:$R$104,MATCH($T44&amp;$R44,'AEA2012 update'!$A$6:$A$104&amp;'AEA2012 update'!$B$6:$B$104,0),MATCH(AD$16,'AEA2012 update'!$S$4:$Z$4,0)),INDEX('AEA2012 update'!$K$6:$R$104,MATCH($T44&amp;$U44,'AEA2012 update'!$A$6:$A$104&amp;'AEA2012 update'!$B$6:$B$104,0),MATCH(AD$16,'AEA2012 update'!$S$4:$Z$4,0)))</f>
        <v>4426942.2286890121</v>
      </c>
      <c r="AE44" s="103" cm="1">
        <f t="array" ref="AE44">IF(X44,INDEX('AEA2012 update'!$K$6:$R$104,MATCH($T44&amp;$R44,'AEA2012 update'!$A$6:$A$104&amp;'AEA2012 update'!$B$6:$B$104,0),MATCH(AE$16,'AEA2012 update'!$S$4:$Z$4,0)),INDEX('AEA2012 update'!$K$6:$R$104,MATCH($T44&amp;$U44,'AEA2012 update'!$A$6:$A$104&amp;'AEA2012 update'!$B$6:$B$104,0),MATCH(AE$16,'AEA2012 update'!$S$4:$Z$4,0)))</f>
        <v>1769962.7067509172</v>
      </c>
      <c r="AF44" s="103" cm="1">
        <f t="array" ref="AF44">IF(Y44,INDEX('AEA2012 update'!$K$6:$R$104,MATCH($T44&amp;$R44,'AEA2012 update'!$A$6:$A$104&amp;'AEA2012 update'!$B$6:$B$104,0),MATCH(AF$16,'AEA2012 update'!$S$4:$Z$4,0)),INDEX('AEA2012 update'!$K$6:$R$104,MATCH($T44&amp;$U44,'AEA2012 update'!$A$6:$A$104&amp;'AEA2012 update'!$B$6:$B$104,0),MATCH(AF$16,'AEA2012 update'!$S$4:$Z$4,0)))</f>
        <v>1358748.1529305463</v>
      </c>
      <c r="AG44" s="103" cm="1">
        <f t="array" ref="AG44">IF(Z44,INDEX('AEA2012 update'!$K$6:$R$104,MATCH($T44&amp;$R44,'AEA2012 update'!$A$6:$A$104&amp;'AEA2012 update'!$B$6:$B$104,0),MATCH(AG$16,'AEA2012 update'!$S$4:$Z$4,0)),INDEX('AEA2012 update'!$K$6:$R$104,MATCH($T44&amp;$U44,'AEA2012 update'!$A$6:$A$104&amp;'AEA2012 update'!$B$6:$B$104,0),MATCH(AG$16,'AEA2012 update'!$S$4:$Z$4,0)))</f>
        <v>947533.59911017539</v>
      </c>
      <c r="AH44" s="103" cm="1">
        <f t="array" ref="AH44">IF(AA44,INDEX('AEA2012 update'!$K$6:$R$104,MATCH($T44&amp;$R44,'AEA2012 update'!$A$6:$A$104&amp;'AEA2012 update'!$B$6:$B$104,0),MATCH(AH$16,'AEA2012 update'!$S$4:$Z$4,0)),INDEX('AEA2012 update'!$K$6:$R$104,MATCH($T44&amp;$U44,'AEA2012 update'!$A$6:$A$104&amp;'AEA2012 update'!$B$6:$B$104,0),MATCH(AH$16,'AEA2012 update'!$S$4:$Z$4,0)))</f>
        <v>902309.9582547989</v>
      </c>
      <c r="AI44" s="103" cm="1">
        <f t="array" ref="AI44">IF(AB44,INDEX('AEA2012 update'!$K$6:$R$104,MATCH($T44&amp;$R44,'AEA2012 update'!$A$6:$A$104&amp;'AEA2012 update'!$B$6:$B$104,0),MATCH(AI$16,'AEA2012 update'!$S$4:$Z$4,0)),INDEX('AEA2012 update'!$K$6:$R$104,MATCH($T44&amp;$U44,'AEA2012 update'!$A$6:$A$104&amp;'AEA2012 update'!$B$6:$B$104,0),MATCH(AI$16,'AEA2012 update'!$S$4:$Z$4,0)))</f>
        <v>857086.31739942229</v>
      </c>
      <c r="AJ44" s="103" cm="1">
        <f t="array" ref="AJ44">IF(AC44,INDEX('AEA2012 update'!$K$6:$R$104,MATCH($T44&amp;$R44,'AEA2012 update'!$A$6:$A$104&amp;'AEA2012 update'!$B$6:$B$104,0),MATCH(AJ$16,'AEA2012 update'!$S$4:$Z$4,0)),INDEX('AEA2012 update'!$K$6:$R$104,MATCH($T44&amp;$U44,'AEA2012 update'!$A$6:$A$104&amp;'AEA2012 update'!$B$6:$B$104,0),MATCH(AJ$16,'AEA2012 update'!$S$4:$Z$4,0)))</f>
        <v>387396.22422821133</v>
      </c>
      <c r="AK44" s="103" t="str">
        <f t="shared" si="13"/>
        <v>MBTHGN</v>
      </c>
      <c r="AL44" s="67">
        <f>INDEX('Vehicle data '!$AD$20:$AD$110,MATCH($AK44,'Vehicle data '!$AC$20:$AC$110,0))/INDEX('Vehicle data '!$AD$20:$AD$110,MATCH($AK$40,'Vehicle data '!$AC$20:$AC$110,0))*AL$40</f>
        <v>2.4542518818628487</v>
      </c>
      <c r="AM44" s="67">
        <f t="array" ref="AM44">IF($AE$1,AL44*(1+INDEX(AM$1:AM$2,MATCH($O44,$AI$1:$AI$2,0)))^(AM$16-AL$16),INDEX('AEA2012 update'!$AC$6:$AG$104,MATCH($T44&amp;$U44,'AEA2012 update'!$A$6:$A$104&amp;'AEA2012 update'!$B$6:$B$104,0),MATCH(AM$16,'AEA2012 update'!$AC$4:$AG$4,0)))</f>
        <v>2.4176218657445605</v>
      </c>
      <c r="AN44" s="67">
        <f t="array" ref="AN44">IF($AE$1,AM44*(1+INDEX(AN$1:AN$2,MATCH($O44,$AI$1:$AI$2,0)))^(AN$16-AM$16),INDEX('AEA2012 update'!$AC$6:$AG$104,MATCH($T44&amp;$U44,'AEA2012 update'!$A$6:$A$104&amp;'AEA2012 update'!$B$6:$B$104,0),MATCH(AN$16,'AEA2012 update'!$AC$4:$AG$4,0)))</f>
        <v>2.2422990310832418</v>
      </c>
      <c r="AO44" s="67">
        <f t="array" ref="AO44">IF($AE$1,AN44*(1+INDEX(AO$1:AO$2,MATCH($O44,$AI$1:$AI$2,0)))^(AO$16-AN$16),INDEX('AEA2012 update'!$AC$6:$AG$104,MATCH($T44&amp;$U44,'AEA2012 update'!$A$6:$A$104&amp;'AEA2012 update'!$B$6:$B$104,0),MATCH(AO$16,'AEA2012 update'!$AC$4:$AG$4,0)))</f>
        <v>2.0278950505212934</v>
      </c>
      <c r="AP44" s="67">
        <f t="array" ref="AP44">IF($AE$1,AO44*(1+INDEX(AP$1:AP$2,MATCH($O44,$AI$1:$AI$2,0)))^(AP$16-AO$16),INDEX('AEA2012 update'!$AC$6:$AG$104,MATCH($T44&amp;$U44,'AEA2012 update'!$A$6:$A$104&amp;'AEA2012 update'!$B$6:$B$104,0),MATCH(AP$16,'AEA2012 update'!$AC$4:$AG$4,0)))</f>
        <v>1.8339919336905313</v>
      </c>
      <c r="AQ44" s="67"/>
      <c r="AR44" s="274">
        <f t="shared" si="10"/>
        <v>-4.9750416666666597E-3</v>
      </c>
      <c r="AS44" s="274">
        <f t="shared" si="11"/>
        <v>-8.0468874575124055E-3</v>
      </c>
      <c r="AY44" s="61" t="str">
        <f t="shared" si="12"/>
        <v>MBT-HGN</v>
      </c>
      <c r="AZ44" s="80" t="e" cm="1">
        <f t="array" aca="1" ref="AZ44" ca="1">AL44/INDIRECT("cv."&amp;LEFT($U44,6)&amp;".hhv.MJL") * 100</f>
        <v>#REF!</v>
      </c>
      <c r="BA44" s="80" t="e" cm="1">
        <f t="array" aca="1" ref="BA44" ca="1">AM44/INDIRECT("cv."&amp;LEFT($U44,6)&amp;".hhv.MJL") * 100</f>
        <v>#REF!</v>
      </c>
      <c r="BB44" s="80" t="e" cm="1">
        <f t="array" aca="1" ref="BB44" ca="1">AN44/INDIRECT("cv."&amp;LEFT($U44,6)&amp;".hhv.MJL") * 100</f>
        <v>#REF!</v>
      </c>
      <c r="BC44" s="80" t="e" cm="1">
        <f t="array" aca="1" ref="BC44" ca="1">AO44/INDIRECT("cv."&amp;LEFT($U44,6)&amp;".hhv.MJL") * 100</f>
        <v>#REF!</v>
      </c>
      <c r="BD44" s="80" t="e" cm="1">
        <f t="array" aca="1" ref="BD44" ca="1">AP44/INDIRECT("cv."&amp;LEFT($U44,6)&amp;".hhv.MJL") * 100</f>
        <v>#REF!</v>
      </c>
    </row>
    <row r="45" spans="1:56" x14ac:dyDescent="0.25">
      <c r="C45" s="195" t="s">
        <v>712</v>
      </c>
      <c r="D45" s="61" t="s">
        <v>705</v>
      </c>
      <c r="E45" s="61" t="s">
        <v>706</v>
      </c>
      <c r="F45" s="61">
        <v>18000</v>
      </c>
      <c r="N45" s="61" t="s">
        <v>509</v>
      </c>
      <c r="O45" s="61" t="s">
        <v>613</v>
      </c>
      <c r="P45" s="61" t="s">
        <v>61</v>
      </c>
      <c r="Q45" s="61" t="str">
        <f t="shared" si="7"/>
        <v>MBT</v>
      </c>
      <c r="R45" s="61" t="s">
        <v>680</v>
      </c>
      <c r="S45" s="65"/>
      <c r="T45" s="273" t="s">
        <v>701</v>
      </c>
      <c r="U45" s="957" t="s">
        <v>700</v>
      </c>
      <c r="V45" s="965"/>
      <c r="W45" s="958">
        <f t="shared" si="15"/>
        <v>0</v>
      </c>
      <c r="X45" s="959">
        <f t="shared" si="15"/>
        <v>0</v>
      </c>
      <c r="Y45" s="959">
        <f t="shared" si="15"/>
        <v>0</v>
      </c>
      <c r="Z45" s="959">
        <f t="shared" si="15"/>
        <v>0</v>
      </c>
      <c r="AA45" s="959">
        <f t="shared" si="15"/>
        <v>0</v>
      </c>
      <c r="AB45" s="959">
        <f t="shared" si="15"/>
        <v>0</v>
      </c>
      <c r="AC45" s="960">
        <f t="shared" si="15"/>
        <v>0</v>
      </c>
      <c r="AD45" s="103" cm="1">
        <f t="array" ref="AD45">IF(W45,INDEX('AEA2012 update'!$K$6:$R$104,MATCH($T45&amp;$R45,'AEA2012 update'!$A$6:$A$104&amp;'AEA2012 update'!$B$6:$B$104,0),MATCH(AD$16,'AEA2012 update'!$S$4:$Z$4,0)),INDEX('AEA2012 update'!$K$6:$R$104,MATCH($T45&amp;$U45,'AEA2012 update'!$A$6:$A$104&amp;'AEA2012 update'!$B$6:$B$104,0),MATCH(AD$16,'AEA2012 update'!$S$4:$Z$4,0)))</f>
        <v>519120.41439989489</v>
      </c>
      <c r="AE45" s="103" cm="1">
        <f t="array" ref="AE45">IF(X45,INDEX('AEA2012 update'!$K$6:$R$104,MATCH($T45&amp;$R45,'AEA2012 update'!$A$6:$A$104&amp;'AEA2012 update'!$B$6:$B$104,0),MATCH(AE$16,'AEA2012 update'!$S$4:$Z$4,0)),INDEX('AEA2012 update'!$K$6:$R$104,MATCH($T45&amp;$U45,'AEA2012 update'!$A$6:$A$104&amp;'AEA2012 update'!$B$6:$B$104,0),MATCH(AE$16,'AEA2012 update'!$S$4:$Z$4,0)))</f>
        <v>545626.74611489451</v>
      </c>
      <c r="AF45" s="103" cm="1">
        <f t="array" ref="AF45">IF(Y45,INDEX('AEA2012 update'!$K$6:$R$104,MATCH($T45&amp;$R45,'AEA2012 update'!$A$6:$A$104&amp;'AEA2012 update'!$B$6:$B$104,0),MATCH(AF$16,'AEA2012 update'!$S$4:$Z$4,0)),INDEX('AEA2012 update'!$K$6:$R$104,MATCH($T45&amp;$U45,'AEA2012 update'!$A$6:$A$104&amp;'AEA2012 update'!$B$6:$B$104,0),MATCH(AF$16,'AEA2012 update'!$S$4:$Z$4,0)))</f>
        <v>551370.12411759188</v>
      </c>
      <c r="AG45" s="103" cm="1">
        <f t="array" ref="AG45">IF(Z45,INDEX('AEA2012 update'!$K$6:$R$104,MATCH($T45&amp;$R45,'AEA2012 update'!$A$6:$A$104&amp;'AEA2012 update'!$B$6:$B$104,0),MATCH(AG$16,'AEA2012 update'!$S$4:$Z$4,0)),INDEX('AEA2012 update'!$K$6:$R$104,MATCH($T45&amp;$U45,'AEA2012 update'!$A$6:$A$104&amp;'AEA2012 update'!$B$6:$B$104,0),MATCH(AG$16,'AEA2012 update'!$S$4:$Z$4,0)))</f>
        <v>557113.50212028937</v>
      </c>
      <c r="AH45" s="103" cm="1">
        <f t="array" ref="AH45">IF(AA45,INDEX('AEA2012 update'!$K$6:$R$104,MATCH($T45&amp;$R45,'AEA2012 update'!$A$6:$A$104&amp;'AEA2012 update'!$B$6:$B$104,0),MATCH(AH$16,'AEA2012 update'!$S$4:$Z$4,0)),INDEX('AEA2012 update'!$K$6:$R$104,MATCH($T45&amp;$U45,'AEA2012 update'!$A$6:$A$104&amp;'AEA2012 update'!$B$6:$B$104,0),MATCH(AH$16,'AEA2012 update'!$S$4:$Z$4,0)))</f>
        <v>565345.03849646868</v>
      </c>
      <c r="AI45" s="103" cm="1">
        <f t="array" ref="AI45">IF(AB45,INDEX('AEA2012 update'!$K$6:$R$104,MATCH($T45&amp;$R45,'AEA2012 update'!$A$6:$A$104&amp;'AEA2012 update'!$B$6:$B$104,0),MATCH(AI$16,'AEA2012 update'!$S$4:$Z$4,0)),INDEX('AEA2012 update'!$K$6:$R$104,MATCH($T45&amp;$U45,'AEA2012 update'!$A$6:$A$104&amp;'AEA2012 update'!$B$6:$B$104,0),MATCH(AI$16,'AEA2012 update'!$S$4:$Z$4,0)))</f>
        <v>573576.57487264799</v>
      </c>
      <c r="AJ45" s="103" cm="1">
        <f t="array" ref="AJ45">IF(AC45,INDEX('AEA2012 update'!$K$6:$R$104,MATCH($T45&amp;$R45,'AEA2012 update'!$A$6:$A$104&amp;'AEA2012 update'!$B$6:$B$104,0),MATCH(AJ$16,'AEA2012 update'!$S$4:$Z$4,0)),INDEX('AEA2012 update'!$K$6:$R$104,MATCH($T45&amp;$U45,'AEA2012 update'!$A$6:$A$104&amp;'AEA2012 update'!$B$6:$B$104,0),MATCH(AJ$16,'AEA2012 update'!$S$4:$Z$4,0)))</f>
        <v>580795.72210982675</v>
      </c>
      <c r="AK45" s="103" t="str">
        <f t="shared" si="13"/>
        <v>MBTGAS</v>
      </c>
      <c r="AL45" s="67">
        <f>INDEX('Vehicle data '!$AD$20:$AD$110,MATCH($AK45,'Vehicle data '!$AC$20:$AC$110,0))/INDEX('Vehicle data '!$AD$20:$AD$110,MATCH($AK$40,'Vehicle data '!$AC$20:$AC$110,0))*AL$40</f>
        <v>5.8443708343380978</v>
      </c>
      <c r="AM45" s="67">
        <f t="array" ref="AM45">IF($AE$1,AL45*(1+INDEX(AM$1:AM$2,MATCH($O45,$AI$1:$AI$2,0)))^(AM$16-AL$16),INDEX('AEA2012 update'!$AC$6:$AG$104,MATCH($T45&amp;$U45,'AEA2012 update'!$A$6:$A$104&amp;'AEA2012 update'!$B$6:$B$104,0),MATCH(AM$16,'AEA2012 update'!$AC$4:$AG$4,0)))</f>
        <v>5.7571428690892477</v>
      </c>
      <c r="AN45" s="67">
        <f t="array" ref="AN45">IF($AE$1,AM45*(1+INDEX(AN$1:AN$2,MATCH($O45,$AI$1:$AI$2,0)))^(AN$16-AM$16),INDEX('AEA2012 update'!$AC$6:$AG$104,MATCH($T45&amp;$U45,'AEA2012 update'!$A$6:$A$104&amp;'AEA2012 update'!$B$6:$B$104,0),MATCH(AN$16,'AEA2012 update'!$AC$4:$AG$4,0)))</f>
        <v>5.3396422575748534</v>
      </c>
      <c r="AO45" s="67">
        <f t="array" ref="AO45">IF($AE$1,AN45*(1+INDEX(AO$1:AO$2,MATCH($O45,$AI$1:$AI$2,0)))^(AO$16-AN$16),INDEX('AEA2012 update'!$AC$6:$AG$104,MATCH($T45&amp;$U45,'AEA2012 update'!$A$6:$A$104&amp;'AEA2012 update'!$B$6:$B$104,0),MATCH(AO$16,'AEA2012 update'!$AC$4:$AG$4,0)))</f>
        <v>4.8290767447102425</v>
      </c>
      <c r="AP45" s="67">
        <f t="array" ref="AP45">IF($AE$1,AO45*(1+INDEX(AP$1:AP$2,MATCH($O45,$AI$1:$AI$2,0)))^(AP$16-AO$16),INDEX('AEA2012 update'!$AC$6:$AG$104,MATCH($T45&amp;$U45,'AEA2012 update'!$A$6:$A$104&amp;'AEA2012 update'!$B$6:$B$104,0),MATCH(AP$16,'AEA2012 update'!$AC$4:$AG$4,0)))</f>
        <v>4.3673304467578111</v>
      </c>
      <c r="AQ45" s="67"/>
      <c r="AR45" s="274">
        <f t="shared" si="10"/>
        <v>-4.9750416666666511E-3</v>
      </c>
      <c r="AS45" s="274">
        <f t="shared" si="11"/>
        <v>-8.0468874575123986E-3</v>
      </c>
      <c r="AY45" s="61" t="str">
        <f t="shared" si="12"/>
        <v>MBT-GAS</v>
      </c>
      <c r="AZ45" s="80" t="e" cm="1">
        <f t="array" aca="1" ref="AZ45" ca="1">AL45/INDIRECT("cv."&amp;LEFT($U45,6)&amp;".hhv.MJL") * 100</f>
        <v>#REF!</v>
      </c>
      <c r="BA45" s="80" t="e" cm="1">
        <f t="array" aca="1" ref="BA45" ca="1">AM45/INDIRECT("cv."&amp;LEFT($U45,6)&amp;".hhv.MJL") * 100</f>
        <v>#REF!</v>
      </c>
      <c r="BB45" s="80" t="e" cm="1">
        <f t="array" aca="1" ref="BB45" ca="1">AN45/INDIRECT("cv."&amp;LEFT($U45,6)&amp;".hhv.MJL") * 100</f>
        <v>#REF!</v>
      </c>
      <c r="BC45" s="80" t="e" cm="1">
        <f t="array" aca="1" ref="BC45" ca="1">AO45/INDIRECT("cv."&amp;LEFT($U45,6)&amp;".hhv.MJL") * 100</f>
        <v>#REF!</v>
      </c>
      <c r="BD45" s="80" t="e" cm="1">
        <f t="array" aca="1" ref="BD45" ca="1">AP45/INDIRECT("cv."&amp;LEFT($U45,6)&amp;".hhv.MJL") * 100</f>
        <v>#REF!</v>
      </c>
    </row>
    <row r="46" spans="1:56" x14ac:dyDescent="0.25">
      <c r="C46" s="195" t="s">
        <v>704</v>
      </c>
      <c r="D46" s="61" t="s">
        <v>713</v>
      </c>
      <c r="E46" s="61" t="s">
        <v>706</v>
      </c>
      <c r="F46" s="61">
        <v>5840</v>
      </c>
      <c r="O46" s="61" t="s">
        <v>613</v>
      </c>
      <c r="Q46" s="61" t="str">
        <f t="shared" si="7"/>
        <v/>
      </c>
      <c r="S46" s="65"/>
      <c r="T46" s="273"/>
      <c r="U46" s="277"/>
      <c r="V46" s="965"/>
      <c r="W46" s="958">
        <f t="shared" si="15"/>
        <v>0</v>
      </c>
      <c r="X46" s="959">
        <f t="shared" si="15"/>
        <v>0</v>
      </c>
      <c r="Y46" s="959">
        <f t="shared" si="15"/>
        <v>0</v>
      </c>
      <c r="Z46" s="959">
        <f t="shared" si="15"/>
        <v>0</v>
      </c>
      <c r="AA46" s="959">
        <f t="shared" si="15"/>
        <v>0</v>
      </c>
      <c r="AB46" s="959">
        <f t="shared" si="15"/>
        <v>0</v>
      </c>
      <c r="AC46" s="960">
        <f t="shared" si="15"/>
        <v>0</v>
      </c>
      <c r="AD46" s="103" t="e" cm="1">
        <f t="array" ref="AD46">IF(W46,INDEX('AEA2012 update'!$K$6:$R$104,MATCH($T46&amp;$R46,'AEA2012 update'!$A$6:$A$104&amp;'AEA2012 update'!$B$6:$B$104,0),MATCH(AD$16,'AEA2012 update'!$S$4:$Z$4,0)),INDEX('AEA2012 update'!$K$6:$R$104,MATCH($T46&amp;$U46,'AEA2012 update'!$A$6:$A$104&amp;'AEA2012 update'!$B$6:$B$104,0),MATCH(AD$16,'AEA2012 update'!$S$4:$Z$4,0)))</f>
        <v>#N/A</v>
      </c>
      <c r="AE46" s="103" t="e" cm="1">
        <f t="array" ref="AE46">IF(X46,INDEX('AEA2012 update'!$K$6:$R$104,MATCH($T46&amp;$R46,'AEA2012 update'!$A$6:$A$104&amp;'AEA2012 update'!$B$6:$B$104,0),MATCH(AE$16,'AEA2012 update'!$S$4:$Z$4,0)),INDEX('AEA2012 update'!$K$6:$R$104,MATCH($T46&amp;$U46,'AEA2012 update'!$A$6:$A$104&amp;'AEA2012 update'!$B$6:$B$104,0),MATCH(AE$16,'AEA2012 update'!$S$4:$Z$4,0)))</f>
        <v>#N/A</v>
      </c>
      <c r="AF46" s="103" t="e" cm="1">
        <f t="array" ref="AF46">IF(Y46,INDEX('AEA2012 update'!$K$6:$R$104,MATCH($T46&amp;$R46,'AEA2012 update'!$A$6:$A$104&amp;'AEA2012 update'!$B$6:$B$104,0),MATCH(AF$16,'AEA2012 update'!$S$4:$Z$4,0)),INDEX('AEA2012 update'!$K$6:$R$104,MATCH($T46&amp;$U46,'AEA2012 update'!$A$6:$A$104&amp;'AEA2012 update'!$B$6:$B$104,0),MATCH(AF$16,'AEA2012 update'!$S$4:$Z$4,0)))</f>
        <v>#N/A</v>
      </c>
      <c r="AG46" s="103" t="e" cm="1">
        <f t="array" ref="AG46">IF(Z46,INDEX('AEA2012 update'!$K$6:$R$104,MATCH($T46&amp;$R46,'AEA2012 update'!$A$6:$A$104&amp;'AEA2012 update'!$B$6:$B$104,0),MATCH(AG$16,'AEA2012 update'!$S$4:$Z$4,0)),INDEX('AEA2012 update'!$K$6:$R$104,MATCH($T46&amp;$U46,'AEA2012 update'!$A$6:$A$104&amp;'AEA2012 update'!$B$6:$B$104,0),MATCH(AG$16,'AEA2012 update'!$S$4:$Z$4,0)))</f>
        <v>#N/A</v>
      </c>
      <c r="AH46" s="103" t="e" cm="1">
        <f t="array" ref="AH46">IF(AA46,INDEX('AEA2012 update'!$K$6:$R$104,MATCH($T46&amp;$R46,'AEA2012 update'!$A$6:$A$104&amp;'AEA2012 update'!$B$6:$B$104,0),MATCH(AH$16,'AEA2012 update'!$S$4:$Z$4,0)),INDEX('AEA2012 update'!$K$6:$R$104,MATCH($T46&amp;$U46,'AEA2012 update'!$A$6:$A$104&amp;'AEA2012 update'!$B$6:$B$104,0),MATCH(AH$16,'AEA2012 update'!$S$4:$Z$4,0)))</f>
        <v>#N/A</v>
      </c>
      <c r="AI46" s="103" t="e" cm="1">
        <f t="array" ref="AI46">IF(AB46,INDEX('AEA2012 update'!$K$6:$R$104,MATCH($T46&amp;$R46,'AEA2012 update'!$A$6:$A$104&amp;'AEA2012 update'!$B$6:$B$104,0),MATCH(AI$16,'AEA2012 update'!$S$4:$Z$4,0)),INDEX('AEA2012 update'!$K$6:$R$104,MATCH($T46&amp;$U46,'AEA2012 update'!$A$6:$A$104&amp;'AEA2012 update'!$B$6:$B$104,0),MATCH(AI$16,'AEA2012 update'!$S$4:$Z$4,0)))</f>
        <v>#N/A</v>
      </c>
      <c r="AJ46" s="103" t="e" cm="1">
        <f t="array" ref="AJ46">IF(AC46,INDEX('AEA2012 update'!$K$6:$R$104,MATCH($T46&amp;$R46,'AEA2012 update'!$A$6:$A$104&amp;'AEA2012 update'!$B$6:$B$104,0),MATCH(AJ$16,'AEA2012 update'!$S$4:$Z$4,0)),INDEX('AEA2012 update'!$K$6:$R$104,MATCH($T46&amp;$U46,'AEA2012 update'!$A$6:$A$104&amp;'AEA2012 update'!$B$6:$B$104,0),MATCH(AJ$16,'AEA2012 update'!$S$4:$Z$4,0)))</f>
        <v>#N/A</v>
      </c>
      <c r="AK46" s="103" t="str">
        <f t="shared" si="13"/>
        <v/>
      </c>
      <c r="AL46" s="67" t="e">
        <f>1/INDEX(Analytica!$AA$17:$AE$48,MATCH($AK46,Analytica!$A$17:$A$48,0),MATCH(AL$16,Analytica!$AA$16:$AE$16,0))</f>
        <v>#N/A</v>
      </c>
      <c r="AM46" s="67" t="e">
        <f t="array" ref="AM46">IF($AE$1,AL46*(1+INDEX(AM$1:AM$2,MATCH($O46,$AI$1:$AI$2,0)))^(AM$16-AL$16),INDEX('AEA2012 update'!$AC$6:$AG$104,MATCH($T46&amp;$U46,'AEA2012 update'!$A$6:$A$104&amp;'AEA2012 update'!$B$6:$B$104,0),MATCH(AM$16,'AEA2012 update'!$AC$4:$AG$4,0)))</f>
        <v>#N/A</v>
      </c>
      <c r="AN46" s="67" t="e">
        <f t="array" ref="AN46">IF($AE$1,AM46*(1+INDEX(AN$1:AN$2,MATCH($O46,$AI$1:$AI$2,0)))^(AN$16-AM$16),INDEX('AEA2012 update'!$AC$6:$AG$104,MATCH($T46&amp;$U46,'AEA2012 update'!$A$6:$A$104&amp;'AEA2012 update'!$B$6:$B$104,0),MATCH(AN$16,'AEA2012 update'!$AC$4:$AG$4,0)))</f>
        <v>#N/A</v>
      </c>
      <c r="AO46" s="67" t="e">
        <f t="array" ref="AO46">IF($AE$1,AN46*(1+INDEX(AO$1:AO$2,MATCH($O46,$AI$1:$AI$2,0)))^(AO$16-AN$16),INDEX('AEA2012 update'!$AC$6:$AG$104,MATCH($T46&amp;$U46,'AEA2012 update'!$A$6:$A$104&amp;'AEA2012 update'!$B$6:$B$104,0),MATCH(AO$16,'AEA2012 update'!$AC$4:$AG$4,0)))</f>
        <v>#N/A</v>
      </c>
      <c r="AP46" s="67" t="e">
        <f t="array" ref="AP46">IF($AE$1,AO46*(1+INDEX(AP$1:AP$2,MATCH($O46,$AI$1:$AI$2,0)))^(AP$16-AO$16),INDEX('AEA2012 update'!$AC$6:$AG$104,MATCH($T46&amp;$U46,'AEA2012 update'!$A$6:$A$104&amp;'AEA2012 update'!$B$6:$B$104,0),MATCH(AP$16,'AEA2012 update'!$AC$4:$AG$4,0)))</f>
        <v>#N/A</v>
      </c>
      <c r="AQ46" s="67"/>
      <c r="AR46" s="274" t="e">
        <f t="shared" si="10"/>
        <v>#N/A</v>
      </c>
      <c r="AS46" s="274" t="e">
        <f t="shared" si="11"/>
        <v>#N/A</v>
      </c>
      <c r="AY46" s="61" t="str">
        <f t="shared" si="12"/>
        <v>-</v>
      </c>
      <c r="AZ46" s="80" t="e" cm="1">
        <f t="array" aca="1" ref="AZ46" ca="1">AL46/INDIRECT("cv."&amp;LEFT($U46,6)&amp;".hhv.MJL") * 100</f>
        <v>#N/A</v>
      </c>
      <c r="BA46" s="80" t="e" cm="1">
        <f t="array" aca="1" ref="BA46" ca="1">AM46/INDIRECT("cv."&amp;LEFT($U46,6)&amp;".hhv.MJL") * 100</f>
        <v>#N/A</v>
      </c>
      <c r="BB46" s="80" t="e" cm="1">
        <f t="array" aca="1" ref="BB46" ca="1">AN46/INDIRECT("cv."&amp;LEFT($U46,6)&amp;".hhv.MJL") * 100</f>
        <v>#N/A</v>
      </c>
      <c r="BC46" s="80" t="e" cm="1">
        <f t="array" aca="1" ref="BC46" ca="1">AO46/INDIRECT("cv."&amp;LEFT($U46,6)&amp;".hhv.MJL") * 100</f>
        <v>#N/A</v>
      </c>
      <c r="BD46" s="80" t="e" cm="1">
        <f t="array" aca="1" ref="BD46" ca="1">AP46/INDIRECT("cv."&amp;LEFT($U46,6)&amp;".hhv.MJL") * 100</f>
        <v>#N/A</v>
      </c>
    </row>
    <row r="47" spans="1:56" x14ac:dyDescent="0.25">
      <c r="C47" s="195" t="s">
        <v>708</v>
      </c>
      <c r="D47" s="61" t="s">
        <v>713</v>
      </c>
      <c r="E47" s="61" t="s">
        <v>706</v>
      </c>
      <c r="F47" s="61">
        <v>9650</v>
      </c>
      <c r="N47" s="61" t="s">
        <v>573</v>
      </c>
      <c r="O47" s="61" t="s">
        <v>613</v>
      </c>
      <c r="P47" s="61" t="s">
        <v>714</v>
      </c>
      <c r="Q47" s="61" t="str">
        <f t="shared" si="7"/>
        <v>MOT</v>
      </c>
      <c r="R47" s="61" t="s">
        <v>680</v>
      </c>
      <c r="S47" s="65"/>
      <c r="T47" s="273" t="s">
        <v>715</v>
      </c>
      <c r="U47" s="957" t="s">
        <v>680</v>
      </c>
      <c r="V47" s="965"/>
      <c r="W47" s="958">
        <f t="shared" si="15"/>
        <v>0</v>
      </c>
      <c r="X47" s="959">
        <f t="shared" si="15"/>
        <v>0</v>
      </c>
      <c r="Y47" s="959">
        <f t="shared" si="15"/>
        <v>0</v>
      </c>
      <c r="Z47" s="959">
        <f t="shared" si="15"/>
        <v>0</v>
      </c>
      <c r="AA47" s="959">
        <f t="shared" si="15"/>
        <v>0</v>
      </c>
      <c r="AB47" s="959">
        <f t="shared" si="15"/>
        <v>0</v>
      </c>
      <c r="AC47" s="960">
        <f t="shared" si="15"/>
        <v>0</v>
      </c>
      <c r="AD47" s="103" cm="1">
        <f t="array" ref="AD47">IF(W47,INDEX('AEA2012 update'!$K$6:$R$104,MATCH($T47&amp;$R47,'AEA2012 update'!$A$6:$A$104&amp;'AEA2012 update'!$B$6:$B$104,0),MATCH(AD$16,'AEA2012 update'!$S$4:$Z$4,0)),INDEX('AEA2012 update'!$K$6:$R$104,MATCH($T47&amp;$U47,'AEA2012 update'!$A$6:$A$104&amp;'AEA2012 update'!$B$6:$B$104,0),MATCH(AD$16,'AEA2012 update'!$S$4:$Z$4,0)))</f>
        <v>96467.645499958366</v>
      </c>
      <c r="AE47" s="103" cm="1">
        <f t="array" ref="AE47">IF(X47,INDEX('AEA2012 update'!$K$6:$R$104,MATCH($T47&amp;$R47,'AEA2012 update'!$A$6:$A$104&amp;'AEA2012 update'!$B$6:$B$104,0),MATCH(AE$16,'AEA2012 update'!$S$4:$Z$4,0)),INDEX('AEA2012 update'!$K$6:$R$104,MATCH($T47&amp;$U47,'AEA2012 update'!$A$6:$A$104&amp;'AEA2012 update'!$B$6:$B$104,0),MATCH(AE$16,'AEA2012 update'!$S$4:$Z$4,0)))</f>
        <v>100952.58236707702</v>
      </c>
      <c r="AF47" s="103" cm="1">
        <f t="array" ref="AF47">IF(Y47,INDEX('AEA2012 update'!$K$6:$R$104,MATCH($T47&amp;$R47,'AEA2012 update'!$A$6:$A$104&amp;'AEA2012 update'!$B$6:$B$104,0),MATCH(AF$16,'AEA2012 update'!$S$4:$Z$4,0)),INDEX('AEA2012 update'!$K$6:$R$104,MATCH($T47&amp;$U47,'AEA2012 update'!$A$6:$A$104&amp;'AEA2012 update'!$B$6:$B$104,0),MATCH(AF$16,'AEA2012 update'!$S$4:$Z$4,0)))</f>
        <v>102362.83931314477</v>
      </c>
      <c r="AG47" s="103" cm="1">
        <f t="array" ref="AG47">IF(Z47,INDEX('AEA2012 update'!$K$6:$R$104,MATCH($T47&amp;$R47,'AEA2012 update'!$A$6:$A$104&amp;'AEA2012 update'!$B$6:$B$104,0),MATCH(AG$16,'AEA2012 update'!$S$4:$Z$4,0)),INDEX('AEA2012 update'!$K$6:$R$104,MATCH($T47&amp;$U47,'AEA2012 update'!$A$6:$A$104&amp;'AEA2012 update'!$B$6:$B$104,0),MATCH(AG$16,'AEA2012 update'!$S$4:$Z$4,0)))</f>
        <v>103773.09625921253</v>
      </c>
      <c r="AH47" s="103" cm="1">
        <f t="array" ref="AH47">IF(AA47,INDEX('AEA2012 update'!$K$6:$R$104,MATCH($T47&amp;$R47,'AEA2012 update'!$A$6:$A$104&amp;'AEA2012 update'!$B$6:$B$104,0),MATCH(AH$16,'AEA2012 update'!$S$4:$Z$4,0)),INDEX('AEA2012 update'!$K$6:$R$104,MATCH($T47&amp;$U47,'AEA2012 update'!$A$6:$A$104&amp;'AEA2012 update'!$B$6:$B$104,0),MATCH(AH$16,'AEA2012 update'!$S$4:$Z$4,0)))</f>
        <v>105377.19050256097</v>
      </c>
      <c r="AI47" s="103" cm="1">
        <f t="array" ref="AI47">IF(AB47,INDEX('AEA2012 update'!$K$6:$R$104,MATCH($T47&amp;$R47,'AEA2012 update'!$A$6:$A$104&amp;'AEA2012 update'!$B$6:$B$104,0),MATCH(AI$16,'AEA2012 update'!$S$4:$Z$4,0)),INDEX('AEA2012 update'!$K$6:$R$104,MATCH($T47&amp;$U47,'AEA2012 update'!$A$6:$A$104&amp;'AEA2012 update'!$B$6:$B$104,0),MATCH(AI$16,'AEA2012 update'!$S$4:$Z$4,0)))</f>
        <v>106981.2847459094</v>
      </c>
      <c r="AJ47" s="103" cm="1">
        <f t="array" ref="AJ47">IF(AC47,INDEX('AEA2012 update'!$K$6:$R$104,MATCH($T47&amp;$R47,'AEA2012 update'!$A$6:$A$104&amp;'AEA2012 update'!$B$6:$B$104,0),MATCH(AJ$16,'AEA2012 update'!$S$4:$Z$4,0)),INDEX('AEA2012 update'!$K$6:$R$104,MATCH($T47&amp;$U47,'AEA2012 update'!$A$6:$A$104&amp;'AEA2012 update'!$B$6:$B$104,0),MATCH(AJ$16,'AEA2012 update'!$S$4:$Z$4,0)))</f>
        <v>108464.33187891265</v>
      </c>
      <c r="AK47" s="103" t="str">
        <f t="shared" si="13"/>
        <v>MOTOGS</v>
      </c>
      <c r="AL47" s="67">
        <f>1/INDEX(Analytica!$AA$17:$AE$48,MATCH($AK47,Analytica!$A$17:$A$48,0),MATCH(AL$16,Analytica!$AA$16:$AE$16,0))</f>
        <v>1.7098493444353202</v>
      </c>
      <c r="AM47" s="67">
        <f t="array" ref="AM47">IF($AE$1,AL47*(1+INDEX(AM$1:AM$2,MATCH($O47,$AI$1:$AI$2,0)))^(AM$16-AL$16),INDEX('AEA2012 update'!$AC$6:$AG$104,MATCH($T47&amp;$U47,'AEA2012 update'!$A$6:$A$104&amp;'AEA2012 update'!$B$6:$B$104,0),MATCH(AM$16,'AEA2012 update'!$AC$4:$AG$4,0)))</f>
        <v>1.6843296292384551</v>
      </c>
      <c r="AN47" s="67">
        <f t="array" ref="AN47">IF($AE$1,AM47*(1+INDEX(AN$1:AN$2,MATCH($O47,$AI$1:$AI$2,0)))^(AN$16-AM$16),INDEX('AEA2012 update'!$AC$6:$AG$104,MATCH($T47&amp;$U47,'AEA2012 update'!$A$6:$A$104&amp;'AEA2012 update'!$B$6:$B$104,0),MATCH(AN$16,'AEA2012 update'!$AC$4:$AG$4,0)))</f>
        <v>1.5621842063804479</v>
      </c>
      <c r="AO47" s="67">
        <f t="array" ref="AO47">IF($AE$1,AN47*(1+INDEX(AO$1:AO$2,MATCH($O47,$AI$1:$AI$2,0)))^(AO$16-AN$16),INDEX('AEA2012 update'!$AC$6:$AG$104,MATCH($T47&amp;$U47,'AEA2012 update'!$A$6:$A$104&amp;'AEA2012 update'!$B$6:$B$104,0),MATCH(AO$16,'AEA2012 update'!$AC$4:$AG$4,0)))</f>
        <v>1.4128113941123317</v>
      </c>
      <c r="AP47" s="67">
        <f t="array" ref="AP47">IF($AE$1,AO47*(1+INDEX(AP$1:AP$2,MATCH($O47,$AI$1:$AI$2,0)))^(AP$16-AO$16),INDEX('AEA2012 update'!$AC$6:$AG$104,MATCH($T47&amp;$U47,'AEA2012 update'!$A$6:$A$104&amp;'AEA2012 update'!$B$6:$B$104,0),MATCH(AP$16,'AEA2012 update'!$AC$4:$AG$4,0)))</f>
        <v>1.277721300203392</v>
      </c>
      <c r="AQ47" s="67"/>
      <c r="AR47" s="274">
        <f t="shared" si="10"/>
        <v>-4.9750416666666528E-3</v>
      </c>
      <c r="AS47" s="274">
        <f t="shared" si="11"/>
        <v>-8.0468874575124003E-3</v>
      </c>
      <c r="AY47" s="61" t="str">
        <f t="shared" si="12"/>
        <v>MOT-OGS</v>
      </c>
      <c r="AZ47" s="80" t="e" cm="1">
        <f t="array" aca="1" ref="AZ47" ca="1">AL47/INDIRECT("cv."&amp;LEFT($U47,6)&amp;".hhv.MJL") * 100</f>
        <v>#REF!</v>
      </c>
      <c r="BA47" s="80" t="e" cm="1">
        <f t="array" aca="1" ref="BA47" ca="1">AM47/INDIRECT("cv."&amp;LEFT($U47,6)&amp;".hhv.MJL") * 100</f>
        <v>#REF!</v>
      </c>
      <c r="BB47" s="80" t="e" cm="1">
        <f t="array" aca="1" ref="BB47" ca="1">AN47/INDIRECT("cv."&amp;LEFT($U47,6)&amp;".hhv.MJL") * 100</f>
        <v>#REF!</v>
      </c>
      <c r="BC47" s="80" t="e" cm="1">
        <f t="array" aca="1" ref="BC47" ca="1">AO47/INDIRECT("cv."&amp;LEFT($U47,6)&amp;".hhv.MJL") * 100</f>
        <v>#REF!</v>
      </c>
      <c r="BD47" s="80" t="e" cm="1">
        <f t="array" aca="1" ref="BD47" ca="1">AP47/INDIRECT("cv."&amp;LEFT($U47,6)&amp;".hhv.MJL") * 100</f>
        <v>#REF!</v>
      </c>
    </row>
    <row r="48" spans="1:56" x14ac:dyDescent="0.25">
      <c r="C48" s="195" t="s">
        <v>710</v>
      </c>
      <c r="D48" s="61" t="s">
        <v>713</v>
      </c>
      <c r="E48" s="61" t="s">
        <v>706</v>
      </c>
      <c r="F48" s="61">
        <v>13960</v>
      </c>
      <c r="N48" s="61" t="s">
        <v>511</v>
      </c>
      <c r="O48" s="61" t="s">
        <v>613</v>
      </c>
      <c r="P48" s="61" t="s">
        <v>714</v>
      </c>
      <c r="Q48" s="61" t="str">
        <f t="shared" si="7"/>
        <v>MOT</v>
      </c>
      <c r="R48" s="61" t="s">
        <v>680</v>
      </c>
      <c r="S48" s="65"/>
      <c r="T48" s="273" t="s">
        <v>715</v>
      </c>
      <c r="U48" s="957" t="s">
        <v>688</v>
      </c>
      <c r="V48" s="965"/>
      <c r="W48" s="958">
        <f t="shared" si="15"/>
        <v>0</v>
      </c>
      <c r="X48" s="959">
        <f t="shared" si="15"/>
        <v>0</v>
      </c>
      <c r="Y48" s="959">
        <f t="shared" si="15"/>
        <v>0</v>
      </c>
      <c r="Z48" s="959">
        <f t="shared" si="15"/>
        <v>0</v>
      </c>
      <c r="AA48" s="959">
        <f t="shared" si="15"/>
        <v>0</v>
      </c>
      <c r="AB48" s="959">
        <f t="shared" si="15"/>
        <v>0</v>
      </c>
      <c r="AC48" s="960">
        <f t="shared" si="15"/>
        <v>0</v>
      </c>
      <c r="AD48" s="103" cm="1">
        <f t="array" ref="AD48">IF(W48,INDEX('AEA2012 update'!$K$6:$R$104,MATCH($T48&amp;$R48,'AEA2012 update'!$A$6:$A$104&amp;'AEA2012 update'!$B$6:$B$104,0),MATCH(AD$16,'AEA2012 update'!$S$4:$Z$4,0)),INDEX('AEA2012 update'!$K$6:$R$104,MATCH($T48&amp;$U48,'AEA2012 update'!$A$6:$A$104&amp;'AEA2012 update'!$B$6:$B$104,0),MATCH(AD$16,'AEA2012 update'!$S$4:$Z$4,0)))</f>
        <v>202427.5003038717</v>
      </c>
      <c r="AE48" s="103" cm="1">
        <f t="array" ref="AE48">IF(X48,INDEX('AEA2012 update'!$K$6:$R$104,MATCH($T48&amp;$R48,'AEA2012 update'!$A$6:$A$104&amp;'AEA2012 update'!$B$6:$B$104,0),MATCH(AE$16,'AEA2012 update'!$S$4:$Z$4,0)),INDEX('AEA2012 update'!$K$6:$R$104,MATCH($T48&amp;$U48,'AEA2012 update'!$A$6:$A$104&amp;'AEA2012 update'!$B$6:$B$104,0),MATCH(AE$16,'AEA2012 update'!$S$4:$Z$4,0)))</f>
        <v>184982.86079099006</v>
      </c>
      <c r="AF48" s="103" cm="1">
        <f t="array" ref="AF48">IF(Y48,INDEX('AEA2012 update'!$K$6:$R$104,MATCH($T48&amp;$R48,'AEA2012 update'!$A$6:$A$104&amp;'AEA2012 update'!$B$6:$B$104,0),MATCH(AF$16,'AEA2012 update'!$S$4:$Z$4,0)),INDEX('AEA2012 update'!$K$6:$R$104,MATCH($T48&amp;$U48,'AEA2012 update'!$A$6:$A$104&amp;'AEA2012 update'!$B$6:$B$104,0),MATCH(AF$16,'AEA2012 update'!$S$4:$Z$4,0)))</f>
        <v>182001.73414443681</v>
      </c>
      <c r="AG48" s="103" cm="1">
        <f t="array" ref="AG48">IF(Z48,INDEX('AEA2012 update'!$K$6:$R$104,MATCH($T48&amp;$R48,'AEA2012 update'!$A$6:$A$104&amp;'AEA2012 update'!$B$6:$B$104,0),MATCH(AG$16,'AEA2012 update'!$S$4:$Z$4,0)),INDEX('AEA2012 update'!$K$6:$R$104,MATCH($T48&amp;$U48,'AEA2012 update'!$A$6:$A$104&amp;'AEA2012 update'!$B$6:$B$104,0),MATCH(AG$16,'AEA2012 update'!$S$4:$Z$4,0)))</f>
        <v>179020.60749788352</v>
      </c>
      <c r="AH48" s="103" cm="1">
        <f t="array" ref="AH48">IF(AA48,INDEX('AEA2012 update'!$K$6:$R$104,MATCH($T48&amp;$R48,'AEA2012 update'!$A$6:$A$104&amp;'AEA2012 update'!$B$6:$B$104,0),MATCH(AH$16,'AEA2012 update'!$S$4:$Z$4,0)),INDEX('AEA2012 update'!$K$6:$R$104,MATCH($T48&amp;$U48,'AEA2012 update'!$A$6:$A$104&amp;'AEA2012 update'!$B$6:$B$104,0),MATCH(AH$16,'AEA2012 update'!$S$4:$Z$4,0)))</f>
        <v>179357.91504861315</v>
      </c>
      <c r="AI48" s="103" cm="1">
        <f t="array" ref="AI48">IF(AB48,INDEX('AEA2012 update'!$K$6:$R$104,MATCH($T48&amp;$R48,'AEA2012 update'!$A$6:$A$104&amp;'AEA2012 update'!$B$6:$B$104,0),MATCH(AI$16,'AEA2012 update'!$S$4:$Z$4,0)),INDEX('AEA2012 update'!$K$6:$R$104,MATCH($T48&amp;$U48,'AEA2012 update'!$A$6:$A$104&amp;'AEA2012 update'!$B$6:$B$104,0),MATCH(AI$16,'AEA2012 update'!$S$4:$Z$4,0)))</f>
        <v>179695.22259934273</v>
      </c>
      <c r="AJ48" s="103" cm="1">
        <f t="array" ref="AJ48">IF(AC48,INDEX('AEA2012 update'!$K$6:$R$104,MATCH($T48&amp;$R48,'AEA2012 update'!$A$6:$A$104&amp;'AEA2012 update'!$B$6:$B$104,0),MATCH(AJ$16,'AEA2012 update'!$S$4:$Z$4,0)),INDEX('AEA2012 update'!$K$6:$R$104,MATCH($T48&amp;$U48,'AEA2012 update'!$A$6:$A$104&amp;'AEA2012 update'!$B$6:$B$104,0),MATCH(AJ$16,'AEA2012 update'!$S$4:$Z$4,0)))</f>
        <v>180990.69120736388</v>
      </c>
      <c r="AK48" s="103" t="str">
        <f t="shared" si="13"/>
        <v>MOTODS</v>
      </c>
      <c r="AL48" s="67">
        <f>INDEX('Vehicle data '!$AD$20:$AD$110,MATCH($AK48,'Vehicle data '!$AC$20:$AC$110,0))/INDEX('Vehicle data '!$AD$20:$AD$110,MATCH($AK$47,'Vehicle data '!$AC$20:$AC$110,0))*AL$47</f>
        <v>1.2823870083264901</v>
      </c>
      <c r="AM48" s="67">
        <f t="array" ref="AM48">IF($AE$1,AL48*(1+INDEX(AM$1:AM$2,MATCH($O48,$AI$1:$AI$2,0)))^(AM$16-AL$16),INDEX('AEA2012 update'!$AC$6:$AG$104,MATCH($T48&amp;$U48,'AEA2012 update'!$A$6:$A$104&amp;'AEA2012 update'!$B$6:$B$104,0),MATCH(AM$16,'AEA2012 update'!$AC$4:$AG$4,0)))</f>
        <v>1.2632472219288413</v>
      </c>
      <c r="AN48" s="67">
        <f t="array" ref="AN48">IF($AE$1,AM48*(1+INDEX(AN$1:AN$2,MATCH($O48,$AI$1:$AI$2,0)))^(AN$16-AM$16),INDEX('AEA2012 update'!$AC$6:$AG$104,MATCH($T48&amp;$U48,'AEA2012 update'!$A$6:$A$104&amp;'AEA2012 update'!$B$6:$B$104,0),MATCH(AN$16,'AEA2012 update'!$AC$4:$AG$4,0)))</f>
        <v>1.1716381547853358</v>
      </c>
      <c r="AO48" s="67">
        <f t="array" ref="AO48">IF($AE$1,AN48*(1+INDEX(AO$1:AO$2,MATCH($O48,$AI$1:$AI$2,0)))^(AO$16-AN$16),INDEX('AEA2012 update'!$AC$6:$AG$104,MATCH($T48&amp;$U48,'AEA2012 update'!$A$6:$A$104&amp;'AEA2012 update'!$B$6:$B$104,0),MATCH(AO$16,'AEA2012 update'!$AC$4:$AG$4,0)))</f>
        <v>1.0596085455842486</v>
      </c>
      <c r="AP48" s="67">
        <f t="array" ref="AP48">IF($AE$1,AO48*(1+INDEX(AP$1:AP$2,MATCH($O48,$AI$1:$AI$2,0)))^(AP$16-AO$16),INDEX('AEA2012 update'!$AC$6:$AG$104,MATCH($T48&amp;$U48,'AEA2012 update'!$A$6:$A$104&amp;'AEA2012 update'!$B$6:$B$104,0),MATCH(AP$16,'AEA2012 update'!$AC$4:$AG$4,0)))</f>
        <v>0.95829097515254391</v>
      </c>
      <c r="AQ48" s="67"/>
      <c r="AR48" s="274">
        <f t="shared" si="10"/>
        <v>-4.9750416666666381E-3</v>
      </c>
      <c r="AS48" s="274">
        <f t="shared" si="11"/>
        <v>-8.0468874575124021E-3</v>
      </c>
      <c r="AY48" s="61" t="str">
        <f t="shared" si="12"/>
        <v>MOT-ODS</v>
      </c>
      <c r="AZ48" s="80" t="e" cm="1">
        <f t="array" aca="1" ref="AZ48" ca="1">AL48/INDIRECT("cv."&amp;LEFT($U48,6)&amp;".hhv.MJL") * 100</f>
        <v>#REF!</v>
      </c>
      <c r="BA48" s="80" t="e" cm="1">
        <f t="array" aca="1" ref="BA48" ca="1">AM48/INDIRECT("cv."&amp;LEFT($U48,6)&amp;".hhv.MJL") * 100</f>
        <v>#REF!</v>
      </c>
      <c r="BB48" s="80" t="e" cm="1">
        <f t="array" aca="1" ref="BB48" ca="1">AN48/INDIRECT("cv."&amp;LEFT($U48,6)&amp;".hhv.MJL") * 100</f>
        <v>#REF!</v>
      </c>
      <c r="BC48" s="80" t="e" cm="1">
        <f t="array" aca="1" ref="BC48" ca="1">AO48/INDIRECT("cv."&amp;LEFT($U48,6)&amp;".hhv.MJL") * 100</f>
        <v>#REF!</v>
      </c>
      <c r="BD48" s="80" t="e" cm="1">
        <f t="array" aca="1" ref="BD48" ca="1">AP48/INDIRECT("cv."&amp;LEFT($U48,6)&amp;".hhv.MJL") * 100</f>
        <v>#REF!</v>
      </c>
    </row>
    <row r="49" spans="1:61" x14ac:dyDescent="0.25">
      <c r="C49" s="195"/>
      <c r="N49" s="61" t="s">
        <v>501</v>
      </c>
      <c r="O49" s="61" t="s">
        <v>613</v>
      </c>
      <c r="P49" s="61" t="s">
        <v>714</v>
      </c>
      <c r="Q49" s="61" t="str">
        <f t="shared" si="7"/>
        <v>MOT</v>
      </c>
      <c r="R49" s="61" t="s">
        <v>680</v>
      </c>
      <c r="S49"/>
      <c r="T49" s="273" t="s">
        <v>715</v>
      </c>
      <c r="U49" s="957" t="s">
        <v>692</v>
      </c>
      <c r="V49" s="965">
        <v>2035</v>
      </c>
      <c r="W49" s="958">
        <f t="shared" si="15"/>
        <v>0</v>
      </c>
      <c r="X49" s="959">
        <f t="shared" si="15"/>
        <v>0</v>
      </c>
      <c r="Y49" s="959">
        <f t="shared" si="15"/>
        <v>0</v>
      </c>
      <c r="Z49" s="959">
        <f t="shared" si="15"/>
        <v>0</v>
      </c>
      <c r="AA49" s="959">
        <f t="shared" si="15"/>
        <v>1</v>
      </c>
      <c r="AB49" s="959">
        <f t="shared" si="15"/>
        <v>1</v>
      </c>
      <c r="AC49" s="960">
        <f t="shared" si="15"/>
        <v>1</v>
      </c>
      <c r="AD49" s="103" cm="1">
        <f t="array" ref="AD49">IF(W49,INDEX('AEA2012 update'!$K$6:$R$104,MATCH($T49&amp;$R49,'AEA2012 update'!$A$6:$A$104&amp;'AEA2012 update'!$B$6:$B$104,0),MATCH(AD$16,'AEA2012 update'!$S$4:$Z$4,0)),INDEX('AEA2012 update'!$K$6:$R$104,MATCH($T49&amp;$U49,'AEA2012 update'!$A$6:$A$104&amp;'AEA2012 update'!$B$6:$B$104,0),MATCH(AD$16,'AEA2012 update'!$S$4:$Z$4,0)))</f>
        <v>771314.59438570309</v>
      </c>
      <c r="AE49" s="103" cm="1">
        <f t="array" ref="AE49">IF(X49,INDEX('AEA2012 update'!$K$6:$R$104,MATCH($T49&amp;$R49,'AEA2012 update'!$A$6:$A$104&amp;'AEA2012 update'!$B$6:$B$104,0),MATCH(AE$16,'AEA2012 update'!$S$4:$Z$4,0)),INDEX('AEA2012 update'!$K$6:$R$104,MATCH($T49&amp;$U49,'AEA2012 update'!$A$6:$A$104&amp;'AEA2012 update'!$B$6:$B$104,0),MATCH(AE$16,'AEA2012 update'!$S$4:$Z$4,0)))</f>
        <v>615656.0884163403</v>
      </c>
      <c r="AF49" s="103" cm="1">
        <f t="array" ref="AF49">IF(Y49,INDEX('AEA2012 update'!$K$6:$R$104,MATCH($T49&amp;$R49,'AEA2012 update'!$A$6:$A$104&amp;'AEA2012 update'!$B$6:$B$104,0),MATCH(AF$16,'AEA2012 update'!$S$4:$Z$4,0)),INDEX('AEA2012 update'!$K$6:$R$104,MATCH($T49&amp;$U49,'AEA2012 update'!$A$6:$A$104&amp;'AEA2012 update'!$B$6:$B$104,0),MATCH(AF$16,'AEA2012 update'!$S$4:$Z$4,0)))</f>
        <v>581658.22367545473</v>
      </c>
      <c r="AG49" s="103" cm="1">
        <f t="array" ref="AG49">IF(Z49,INDEX('AEA2012 update'!$K$6:$R$104,MATCH($T49&amp;$R49,'AEA2012 update'!$A$6:$A$104&amp;'AEA2012 update'!$B$6:$B$104,0),MATCH(AG$16,'AEA2012 update'!$S$4:$Z$4,0)),INDEX('AEA2012 update'!$K$6:$R$104,MATCH($T49&amp;$U49,'AEA2012 update'!$A$6:$A$104&amp;'AEA2012 update'!$B$6:$B$104,0),MATCH(AG$16,'AEA2012 update'!$S$4:$Z$4,0)))</f>
        <v>547660.35893456906</v>
      </c>
      <c r="AH49" s="103" cm="1">
        <f t="array" ref="AH49">IF(AA49,INDEX('AEA2012 update'!$K$6:$R$104,MATCH($T49&amp;$R49,'AEA2012 update'!$A$6:$A$104&amp;'AEA2012 update'!$B$6:$B$104,0),MATCH(AH$16,'AEA2012 update'!$S$4:$Z$4,0)),INDEX('AEA2012 update'!$K$6:$R$104,MATCH($T49&amp;$U49,'AEA2012 update'!$A$6:$A$104&amp;'AEA2012 update'!$B$6:$B$104,0),MATCH(AH$16,'AEA2012 update'!$S$4:$Z$4,0)))</f>
        <v>105377.19050256097</v>
      </c>
      <c r="AI49" s="103" cm="1">
        <f t="array" ref="AI49">IF(AB49,INDEX('AEA2012 update'!$K$6:$R$104,MATCH($T49&amp;$R49,'AEA2012 update'!$A$6:$A$104&amp;'AEA2012 update'!$B$6:$B$104,0),MATCH(AI$16,'AEA2012 update'!$S$4:$Z$4,0)),INDEX('AEA2012 update'!$K$6:$R$104,MATCH($T49&amp;$U49,'AEA2012 update'!$A$6:$A$104&amp;'AEA2012 update'!$B$6:$B$104,0),MATCH(AI$16,'AEA2012 update'!$S$4:$Z$4,0)))</f>
        <v>106981.2847459094</v>
      </c>
      <c r="AJ49" s="103" cm="1">
        <f t="array" ref="AJ49">IF(AC49,INDEX('AEA2012 update'!$K$6:$R$104,MATCH($T49&amp;$R49,'AEA2012 update'!$A$6:$A$104&amp;'AEA2012 update'!$B$6:$B$104,0),MATCH(AJ$16,'AEA2012 update'!$S$4:$Z$4,0)),INDEX('AEA2012 update'!$K$6:$R$104,MATCH($T49&amp;$U49,'AEA2012 update'!$A$6:$A$104&amp;'AEA2012 update'!$B$6:$B$104,0),MATCH(AJ$16,'AEA2012 update'!$S$4:$Z$4,0)))</f>
        <v>108464.33187891265</v>
      </c>
      <c r="AK49" s="103" t="str">
        <f t="shared" si="13"/>
        <v>MOTELC</v>
      </c>
      <c r="AL49" s="67">
        <f>INDEX('Vehicle data '!$AD$20:$AD$110,MATCH($AK49,'Vehicle data '!$AC$20:$AC$110,0))/INDEX('Vehicle data '!$AD$20:$AD$110,MATCH($AK$47,'Vehicle data '!$AC$20:$AC$110,0))*AL$47</f>
        <v>0.34474892692687192</v>
      </c>
      <c r="AM49" s="67">
        <f t="array" ref="AM49">IF($AE$1,AL49*(1+INDEX(AM$1:AM$2,MATCH($O49,$AI$1:$AI$2,0)))^(AM$16-AL$16),INDEX('AEA2012 update'!$AC$6:$AG$104,MATCH($T49&amp;$U49,'AEA2012 update'!$A$6:$A$104&amp;'AEA2012 update'!$B$6:$B$104,0),MATCH(AM$16,'AEA2012 update'!$AC$4:$AG$4,0)))</f>
        <v>0.33960350609887252</v>
      </c>
      <c r="AN49" s="67">
        <f t="array" ref="AN49">IF($AE$1,AM49*(1+INDEX(AN$1:AN$2,MATCH($O49,$AI$1:$AI$2,0)))^(AN$16-AM$16),INDEX('AEA2012 update'!$AC$6:$AG$104,MATCH($T49&amp;$U49,'AEA2012 update'!$A$6:$A$104&amp;'AEA2012 update'!$B$6:$B$104,0),MATCH(AN$16,'AEA2012 update'!$AC$4:$AG$4,0)))</f>
        <v>0.31497589572116774</v>
      </c>
      <c r="AO49" s="67">
        <f t="array" ref="AO49">IF($AE$1,AN49*(1+INDEX(AO$1:AO$2,MATCH($O49,$AI$1:$AI$2,0)))^(AO$16-AN$16),INDEX('AEA2012 update'!$AC$6:$AG$104,MATCH($T49&amp;$U49,'AEA2012 update'!$A$6:$A$104&amp;'AEA2012 update'!$B$6:$B$104,0),MATCH(AO$16,'AEA2012 update'!$AC$4:$AG$4,0)))</f>
        <v>0.28485855415006645</v>
      </c>
      <c r="AP49" s="67">
        <f t="array" ref="AP49">IF($AE$1,AO49*(1+INDEX(AP$1:AP$2,MATCH($O49,$AI$1:$AI$2,0)))^(AP$16-AO$16),INDEX('AEA2012 update'!$AC$6:$AG$104,MATCH($T49&amp;$U49,'AEA2012 update'!$A$6:$A$104&amp;'AEA2012 update'!$B$6:$B$104,0),MATCH(AP$16,'AEA2012 update'!$AC$4:$AG$4,0)))</f>
        <v>0.25762097028624492</v>
      </c>
      <c r="AQ49" s="67"/>
      <c r="AR49" s="274">
        <f t="shared" si="10"/>
        <v>-4.9750416666666407E-3</v>
      </c>
      <c r="AS49" s="274">
        <f t="shared" si="11"/>
        <v>-8.0468874575124003E-3</v>
      </c>
      <c r="AY49" s="61" t="str">
        <f t="shared" si="12"/>
        <v>MOT-ELC</v>
      </c>
      <c r="AZ49" s="80" t="e" cm="1">
        <f t="array" aca="1" ref="AZ49" ca="1">AL49/INDIRECT("cv."&amp;LEFT($U49,6)&amp;".hhv.MJL") * 100</f>
        <v>#REF!</v>
      </c>
      <c r="BA49" s="80" t="e" cm="1">
        <f t="array" aca="1" ref="BA49" ca="1">AM49/INDIRECT("cv."&amp;LEFT($U49,6)&amp;".hhv.MJL") * 100</f>
        <v>#REF!</v>
      </c>
      <c r="BB49" s="80" t="e" cm="1">
        <f t="array" aca="1" ref="BB49" ca="1">AN49/INDIRECT("cv."&amp;LEFT($U49,6)&amp;".hhv.MJL") * 100</f>
        <v>#REF!</v>
      </c>
      <c r="BC49" s="80" t="e" cm="1">
        <f t="array" aca="1" ref="BC49" ca="1">AO49/INDIRECT("cv."&amp;LEFT($U49,6)&amp;".hhv.MJL") * 100</f>
        <v>#REF!</v>
      </c>
      <c r="BD49" s="80" t="e" cm="1">
        <f t="array" aca="1" ref="BD49" ca="1">AP49/INDIRECT("cv."&amp;LEFT($U49,6)&amp;".hhv.MJL") * 100</f>
        <v>#REF!</v>
      </c>
    </row>
    <row r="50" spans="1:61" x14ac:dyDescent="0.25">
      <c r="C50" s="195"/>
      <c r="N50" s="61" t="s">
        <v>504</v>
      </c>
      <c r="O50" s="61" t="s">
        <v>613</v>
      </c>
      <c r="P50" s="61" t="s">
        <v>714</v>
      </c>
      <c r="Q50" s="61" t="str">
        <f t="shared" si="7"/>
        <v>MOT</v>
      </c>
      <c r="R50" s="61" t="s">
        <v>680</v>
      </c>
      <c r="S50"/>
      <c r="T50" s="273" t="s">
        <v>715</v>
      </c>
      <c r="U50" s="957" t="s">
        <v>699</v>
      </c>
      <c r="V50" s="965"/>
      <c r="W50" s="958">
        <f t="shared" si="15"/>
        <v>0</v>
      </c>
      <c r="X50" s="959">
        <f t="shared" si="15"/>
        <v>0</v>
      </c>
      <c r="Y50" s="959">
        <f t="shared" si="15"/>
        <v>0</v>
      </c>
      <c r="Z50" s="959">
        <f t="shared" si="15"/>
        <v>0</v>
      </c>
      <c r="AA50" s="959">
        <f t="shared" si="15"/>
        <v>0</v>
      </c>
      <c r="AB50" s="959">
        <f t="shared" si="15"/>
        <v>0</v>
      </c>
      <c r="AC50" s="960">
        <f t="shared" si="15"/>
        <v>0</v>
      </c>
      <c r="AD50" s="103" cm="1">
        <f t="array" ref="AD50">IF(W50,INDEX('AEA2012 update'!$K$6:$R$104,MATCH($T50&amp;$R50,'AEA2012 update'!$A$6:$A$104&amp;'AEA2012 update'!$B$6:$B$104,0),MATCH(AD$16,'AEA2012 update'!$S$4:$Z$4,0)),INDEX('AEA2012 update'!$K$6:$R$104,MATCH($T50&amp;$U50,'AEA2012 update'!$A$6:$A$104&amp;'AEA2012 update'!$B$6:$B$104,0),MATCH(AD$16,'AEA2012 update'!$S$4:$Z$4,0)))</f>
        <v>2493340.1928731529</v>
      </c>
      <c r="AE50" s="103" cm="1">
        <f t="array" ref="AE50">IF(X50,INDEX('AEA2012 update'!$K$6:$R$104,MATCH($T50&amp;$R50,'AEA2012 update'!$A$6:$A$104&amp;'AEA2012 update'!$B$6:$B$104,0),MATCH(AE$16,'AEA2012 update'!$S$4:$Z$4,0)),INDEX('AEA2012 update'!$K$6:$R$104,MATCH($T50&amp;$U50,'AEA2012 update'!$A$6:$A$104&amp;'AEA2012 update'!$B$6:$B$104,0),MATCH(AE$16,'AEA2012 update'!$S$4:$Z$4,0)))</f>
        <v>923484.13262451033</v>
      </c>
      <c r="AF50" s="103" cm="1">
        <f t="array" ref="AF50">IF(Y50,INDEX('AEA2012 update'!$K$6:$R$104,MATCH($T50&amp;$R50,'AEA2012 update'!$A$6:$A$104&amp;'AEA2012 update'!$B$6:$B$104,0),MATCH(AF$16,'AEA2012 update'!$S$4:$Z$4,0)),INDEX('AEA2012 update'!$K$6:$R$104,MATCH($T50&amp;$U50,'AEA2012 update'!$A$6:$A$104&amp;'AEA2012 update'!$B$6:$B$104,0),MATCH(AF$16,'AEA2012 update'!$S$4:$Z$4,0)))</f>
        <v>877309.92599328468</v>
      </c>
      <c r="AG50" s="103" cm="1">
        <f t="array" ref="AG50">IF(Z50,INDEX('AEA2012 update'!$K$6:$R$104,MATCH($T50&amp;$R50,'AEA2012 update'!$A$6:$A$104&amp;'AEA2012 update'!$B$6:$B$104,0),MATCH(AG$16,'AEA2012 update'!$S$4:$Z$4,0)),INDEX('AEA2012 update'!$K$6:$R$104,MATCH($T50&amp;$U50,'AEA2012 update'!$A$6:$A$104&amp;'AEA2012 update'!$B$6:$B$104,0),MATCH(AG$16,'AEA2012 update'!$S$4:$Z$4,0)))</f>
        <v>833444.42969362042</v>
      </c>
      <c r="AH50" s="103" cm="1">
        <f t="array" ref="AH50">IF(AA50,INDEX('AEA2012 update'!$K$6:$R$104,MATCH($T50&amp;$R50,'AEA2012 update'!$A$6:$A$104&amp;'AEA2012 update'!$B$6:$B$104,0),MATCH(AH$16,'AEA2012 update'!$S$4:$Z$4,0)),INDEX('AEA2012 update'!$K$6:$R$104,MATCH($T50&amp;$U50,'AEA2012 update'!$A$6:$A$104&amp;'AEA2012 update'!$B$6:$B$104,0),MATCH(AH$16,'AEA2012 update'!$S$4:$Z$4,0)))</f>
        <v>791772.20820893941</v>
      </c>
      <c r="AI50" s="103" cm="1">
        <f t="array" ref="AI50">IF(AB50,INDEX('AEA2012 update'!$K$6:$R$104,MATCH($T50&amp;$R50,'AEA2012 update'!$A$6:$A$104&amp;'AEA2012 update'!$B$6:$B$104,0),MATCH(AI$16,'AEA2012 update'!$S$4:$Z$4,0)),INDEX('AEA2012 update'!$K$6:$R$104,MATCH($T50&amp;$U50,'AEA2012 update'!$A$6:$A$104&amp;'AEA2012 update'!$B$6:$B$104,0),MATCH(AI$16,'AEA2012 update'!$S$4:$Z$4,0)))</f>
        <v>752183.59779849229</v>
      </c>
      <c r="AJ50" s="103" cm="1">
        <f t="array" ref="AJ50">IF(AC50,INDEX('AEA2012 update'!$K$6:$R$104,MATCH($T50&amp;$R50,'AEA2012 update'!$A$6:$A$104&amp;'AEA2012 update'!$B$6:$B$104,0),MATCH(AJ$16,'AEA2012 update'!$S$4:$Z$4,0)),INDEX('AEA2012 update'!$K$6:$R$104,MATCH($T50&amp;$U50,'AEA2012 update'!$A$6:$A$104&amp;'AEA2012 update'!$B$6:$B$104,0),MATCH(AJ$16,'AEA2012 update'!$S$4:$Z$4,0)))</f>
        <v>678845.69701313926</v>
      </c>
      <c r="AK50" s="103" t="str">
        <f t="shared" si="13"/>
        <v>MOTHGN</v>
      </c>
      <c r="AL50" s="67">
        <f>INDEX('Vehicle data '!$AD$20:$AD$110,MATCH($AK50,'Vehicle data '!$AC$20:$AC$110,0))/INDEX('Vehicle data '!$AD$20:$AD$110,MATCH($AK$47,'Vehicle data '!$AC$20:$AC$110,0))*AL$47</f>
        <v>0.75771986763983457</v>
      </c>
      <c r="AM50" s="67">
        <f t="array" ref="AM50">IF($AE$1,AL50*(1+INDEX(AM$1:AM$2,MATCH($O50,$AI$1:$AI$2,0)))^(AM$16-AL$16),INDEX('AEA2012 update'!$AC$6:$AG$104,MATCH($T50&amp;$U50,'AEA2012 update'!$A$6:$A$104&amp;'AEA2012 update'!$B$6:$B$104,0),MATCH(AM$16,'AEA2012 update'!$AC$4:$AG$4,0)))</f>
        <v>0.74641080390032655</v>
      </c>
      <c r="AN50" s="67">
        <f t="array" ref="AN50">IF($AE$1,AM50*(1+INDEX(AN$1:AN$2,MATCH($O50,$AI$1:$AI$2,0)))^(AN$16-AM$16),INDEX('AEA2012 update'!$AC$6:$AG$104,MATCH($T50&amp;$U50,'AEA2012 update'!$A$6:$A$104&amp;'AEA2012 update'!$B$6:$B$104,0),MATCH(AN$16,'AEA2012 update'!$AC$4:$AG$4,0)))</f>
        <v>0.6922820504274021</v>
      </c>
      <c r="AO50" s="67">
        <f t="array" ref="AO50">IF($AE$1,AN50*(1+INDEX(AO$1:AO$2,MATCH($O50,$AI$1:$AI$2,0)))^(AO$16-AN$16),INDEX('AEA2012 update'!$AC$6:$AG$104,MATCH($T50&amp;$U50,'AEA2012 update'!$A$6:$A$104&amp;'AEA2012 update'!$B$6:$B$104,0),MATCH(AO$16,'AEA2012 update'!$AC$4:$AG$4,0)))</f>
        <v>0.62608747725688363</v>
      </c>
      <c r="AP50" s="67">
        <f t="array" ref="AP50">IF($AE$1,AO50*(1+INDEX(AP$1:AP$2,MATCH($O50,$AI$1:$AI$2,0)))^(AP$16-AO$16),INDEX('AEA2012 update'!$AC$6:$AG$104,MATCH($T50&amp;$U50,'AEA2012 update'!$A$6:$A$104&amp;'AEA2012 update'!$B$6:$B$104,0),MATCH(AP$16,'AEA2012 update'!$AC$4:$AG$4,0)))</f>
        <v>0.56622229181860795</v>
      </c>
      <c r="AQ50" s="67"/>
      <c r="AR50" s="274">
        <f t="shared" si="10"/>
        <v>-4.9750416666666814E-3</v>
      </c>
      <c r="AS50" s="274">
        <f t="shared" si="11"/>
        <v>-8.0468874575124021E-3</v>
      </c>
      <c r="AY50" s="61" t="str">
        <f t="shared" si="12"/>
        <v>MOT-HGN</v>
      </c>
      <c r="AZ50" s="80" t="e" cm="1">
        <f t="array" aca="1" ref="AZ50" ca="1">AL50/INDIRECT("cv."&amp;LEFT($U50,6)&amp;".hhv.MJL") * 100</f>
        <v>#REF!</v>
      </c>
      <c r="BA50" s="80" t="e" cm="1">
        <f t="array" aca="1" ref="BA50" ca="1">AM50/INDIRECT("cv."&amp;LEFT($U50,6)&amp;".hhv.MJL") * 100</f>
        <v>#REF!</v>
      </c>
      <c r="BB50" s="80" t="e" cm="1">
        <f t="array" aca="1" ref="BB50" ca="1">AN50/INDIRECT("cv."&amp;LEFT($U50,6)&amp;".hhv.MJL") * 100</f>
        <v>#REF!</v>
      </c>
      <c r="BC50" s="80" t="e" cm="1">
        <f t="array" aca="1" ref="BC50" ca="1">AO50/INDIRECT("cv."&amp;LEFT($U50,6)&amp;".hhv.MJL") * 100</f>
        <v>#REF!</v>
      </c>
      <c r="BD50" s="80" t="e" cm="1">
        <f t="array" aca="1" ref="BD50" ca="1">AP50/INDIRECT("cv."&amp;LEFT($U50,6)&amp;".hhv.MJL") * 100</f>
        <v>#REF!</v>
      </c>
    </row>
    <row r="51" spans="1:61" x14ac:dyDescent="0.25">
      <c r="C51" s="195" t="s">
        <v>711</v>
      </c>
      <c r="D51" s="61" t="s">
        <v>713</v>
      </c>
      <c r="E51" s="61" t="s">
        <v>706</v>
      </c>
      <c r="F51" s="61">
        <v>8850</v>
      </c>
      <c r="O51" s="61" t="s">
        <v>613</v>
      </c>
      <c r="Q51" s="61" t="str">
        <f t="shared" si="7"/>
        <v/>
      </c>
      <c r="S51"/>
      <c r="T51" s="273"/>
      <c r="U51" s="277"/>
      <c r="V51" s="965"/>
      <c r="W51" s="958">
        <f t="shared" si="15"/>
        <v>0</v>
      </c>
      <c r="X51" s="959">
        <f t="shared" si="15"/>
        <v>0</v>
      </c>
      <c r="Y51" s="959">
        <f t="shared" si="15"/>
        <v>0</v>
      </c>
      <c r="Z51" s="959">
        <f t="shared" si="15"/>
        <v>0</v>
      </c>
      <c r="AA51" s="959">
        <f t="shared" si="15"/>
        <v>0</v>
      </c>
      <c r="AB51" s="959">
        <f t="shared" si="15"/>
        <v>0</v>
      </c>
      <c r="AC51" s="960">
        <f t="shared" si="15"/>
        <v>0</v>
      </c>
      <c r="AD51" s="103" t="e" cm="1">
        <f t="array" ref="AD51">IF(W51,INDEX('AEA2012 update'!$K$6:$R$104,MATCH($T51&amp;$R51,'AEA2012 update'!$A$6:$A$104&amp;'AEA2012 update'!$B$6:$B$104,0),MATCH(AD$16,'AEA2012 update'!$S$4:$Z$4,0)),INDEX('AEA2012 update'!$K$6:$R$104,MATCH($T51&amp;$U51,'AEA2012 update'!$A$6:$A$104&amp;'AEA2012 update'!$B$6:$B$104,0),MATCH(AD$16,'AEA2012 update'!$S$4:$Z$4,0)))</f>
        <v>#N/A</v>
      </c>
      <c r="AE51" s="103" t="e" cm="1">
        <f t="array" ref="AE51">IF(X51,INDEX('AEA2012 update'!$K$6:$R$104,MATCH($T51&amp;$R51,'AEA2012 update'!$A$6:$A$104&amp;'AEA2012 update'!$B$6:$B$104,0),MATCH(AE$16,'AEA2012 update'!$S$4:$Z$4,0)),INDEX('AEA2012 update'!$K$6:$R$104,MATCH($T51&amp;$U51,'AEA2012 update'!$A$6:$A$104&amp;'AEA2012 update'!$B$6:$B$104,0),MATCH(AE$16,'AEA2012 update'!$S$4:$Z$4,0)))</f>
        <v>#N/A</v>
      </c>
      <c r="AF51" s="103" t="e" cm="1">
        <f t="array" ref="AF51">IF(Y51,INDEX('AEA2012 update'!$K$6:$R$104,MATCH($T51&amp;$R51,'AEA2012 update'!$A$6:$A$104&amp;'AEA2012 update'!$B$6:$B$104,0),MATCH(AF$16,'AEA2012 update'!$S$4:$Z$4,0)),INDEX('AEA2012 update'!$K$6:$R$104,MATCH($T51&amp;$U51,'AEA2012 update'!$A$6:$A$104&amp;'AEA2012 update'!$B$6:$B$104,0),MATCH(AF$16,'AEA2012 update'!$S$4:$Z$4,0)))</f>
        <v>#N/A</v>
      </c>
      <c r="AG51" s="103" t="e" cm="1">
        <f t="array" ref="AG51">IF(Z51,INDEX('AEA2012 update'!$K$6:$R$104,MATCH($T51&amp;$R51,'AEA2012 update'!$A$6:$A$104&amp;'AEA2012 update'!$B$6:$B$104,0),MATCH(AG$16,'AEA2012 update'!$S$4:$Z$4,0)),INDEX('AEA2012 update'!$K$6:$R$104,MATCH($T51&amp;$U51,'AEA2012 update'!$A$6:$A$104&amp;'AEA2012 update'!$B$6:$B$104,0),MATCH(AG$16,'AEA2012 update'!$S$4:$Z$4,0)))</f>
        <v>#N/A</v>
      </c>
      <c r="AH51" s="103" t="e" cm="1">
        <f t="array" ref="AH51">IF(AA51,INDEX('AEA2012 update'!$K$6:$R$104,MATCH($T51&amp;$R51,'AEA2012 update'!$A$6:$A$104&amp;'AEA2012 update'!$B$6:$B$104,0),MATCH(AH$16,'AEA2012 update'!$S$4:$Z$4,0)),INDEX('AEA2012 update'!$K$6:$R$104,MATCH($T51&amp;$U51,'AEA2012 update'!$A$6:$A$104&amp;'AEA2012 update'!$B$6:$B$104,0),MATCH(AH$16,'AEA2012 update'!$S$4:$Z$4,0)))</f>
        <v>#N/A</v>
      </c>
      <c r="AI51" s="103" t="e" cm="1">
        <f t="array" ref="AI51">IF(AB51,INDEX('AEA2012 update'!$K$6:$R$104,MATCH($T51&amp;$R51,'AEA2012 update'!$A$6:$A$104&amp;'AEA2012 update'!$B$6:$B$104,0),MATCH(AI$16,'AEA2012 update'!$S$4:$Z$4,0)),INDEX('AEA2012 update'!$K$6:$R$104,MATCH($T51&amp;$U51,'AEA2012 update'!$A$6:$A$104&amp;'AEA2012 update'!$B$6:$B$104,0),MATCH(AI$16,'AEA2012 update'!$S$4:$Z$4,0)))</f>
        <v>#N/A</v>
      </c>
      <c r="AJ51" s="103" t="e" cm="1">
        <f t="array" ref="AJ51">IF(AC51,INDEX('AEA2012 update'!$K$6:$R$104,MATCH($T51&amp;$R51,'AEA2012 update'!$A$6:$A$104&amp;'AEA2012 update'!$B$6:$B$104,0),MATCH(AJ$16,'AEA2012 update'!$S$4:$Z$4,0)),INDEX('AEA2012 update'!$K$6:$R$104,MATCH($T51&amp;$U51,'AEA2012 update'!$A$6:$A$104&amp;'AEA2012 update'!$B$6:$B$104,0),MATCH(AJ$16,'AEA2012 update'!$S$4:$Z$4,0)))</f>
        <v>#N/A</v>
      </c>
      <c r="AK51" s="103" t="str">
        <f t="shared" si="13"/>
        <v/>
      </c>
      <c r="AL51" s="67" t="e">
        <f>1/INDEX(Analytica!$AA$17:$AE$48,MATCH($AK51,Analytica!$A$17:$A$48,0),MATCH(AL$16,Analytica!$AA$16:$AE$16,0))</f>
        <v>#N/A</v>
      </c>
      <c r="AM51" s="67" t="e">
        <f t="array" ref="AM51">IF($AE$1,AL51*(1+INDEX(AM$1:AM$2,MATCH($O51,$AI$1:$AI$2,0)))^(AM$16-AL$16),INDEX('AEA2012 update'!$AC$6:$AG$104,MATCH($T51&amp;$U51,'AEA2012 update'!$A$6:$A$104&amp;'AEA2012 update'!$B$6:$B$104,0),MATCH(AM$16,'AEA2012 update'!$AC$4:$AG$4,0)))</f>
        <v>#N/A</v>
      </c>
      <c r="AN51" s="67" t="e">
        <f t="array" ref="AN51">IF($AE$1,AM51*(1+INDEX(AN$1:AN$2,MATCH($O51,$AI$1:$AI$2,0)))^(AN$16-AM$16),INDEX('AEA2012 update'!$AC$6:$AG$104,MATCH($T51&amp;$U51,'AEA2012 update'!$A$6:$A$104&amp;'AEA2012 update'!$B$6:$B$104,0),MATCH(AN$16,'AEA2012 update'!$AC$4:$AG$4,0)))</f>
        <v>#N/A</v>
      </c>
      <c r="AO51" s="67" t="e">
        <f t="array" ref="AO51">IF($AE$1,AN51*(1+INDEX(AO$1:AO$2,MATCH($O51,$AI$1:$AI$2,0)))^(AO$16-AN$16),INDEX('AEA2012 update'!$AC$6:$AG$104,MATCH($T51&amp;$U51,'AEA2012 update'!$A$6:$A$104&amp;'AEA2012 update'!$B$6:$B$104,0),MATCH(AO$16,'AEA2012 update'!$AC$4:$AG$4,0)))</f>
        <v>#N/A</v>
      </c>
      <c r="AP51" s="67" t="e">
        <f t="array" ref="AP51">IF($AE$1,AO51*(1+INDEX(AP$1:AP$2,MATCH($O51,$AI$1:$AI$2,0)))^(AP$16-AO$16),INDEX('AEA2012 update'!$AC$6:$AG$104,MATCH($T51&amp;$U51,'AEA2012 update'!$A$6:$A$104&amp;'AEA2012 update'!$B$6:$B$104,0),MATCH(AP$16,'AEA2012 update'!$AC$4:$AG$4,0)))</f>
        <v>#N/A</v>
      </c>
      <c r="AQ51" s="67"/>
      <c r="AR51" s="274" t="e">
        <f t="shared" si="10"/>
        <v>#N/A</v>
      </c>
      <c r="AS51" s="274" t="e">
        <f t="shared" si="11"/>
        <v>#N/A</v>
      </c>
      <c r="AY51" s="61" t="str">
        <f t="shared" si="12"/>
        <v>-</v>
      </c>
      <c r="AZ51" s="80" t="e" cm="1">
        <f t="array" aca="1" ref="AZ51" ca="1">AL51/INDIRECT("cv."&amp;LEFT($U51,6)&amp;".hhv.MJL") * 100</f>
        <v>#N/A</v>
      </c>
      <c r="BA51" s="80" t="e" cm="1">
        <f t="array" aca="1" ref="BA51" ca="1">AM51/INDIRECT("cv."&amp;LEFT($U51,6)&amp;".hhv.MJL") * 100</f>
        <v>#N/A</v>
      </c>
      <c r="BB51" s="80" t="e" cm="1">
        <f t="array" aca="1" ref="BB51" ca="1">AN51/INDIRECT("cv."&amp;LEFT($U51,6)&amp;".hhv.MJL") * 100</f>
        <v>#N/A</v>
      </c>
      <c r="BC51" s="80" t="e" cm="1">
        <f t="array" aca="1" ref="BC51" ca="1">AO51/INDIRECT("cv."&amp;LEFT($U51,6)&amp;".hhv.MJL") * 100</f>
        <v>#N/A</v>
      </c>
      <c r="BD51" s="80" t="e" cm="1">
        <f t="array" aca="1" ref="BD51" ca="1">AP51/INDIRECT("cv."&amp;LEFT($U51,6)&amp;".hhv.MJL") * 100</f>
        <v>#N/A</v>
      </c>
    </row>
    <row r="52" spans="1:61" x14ac:dyDescent="0.25">
      <c r="C52" s="195" t="s">
        <v>60</v>
      </c>
      <c r="D52" s="61" t="s">
        <v>713</v>
      </c>
      <c r="E52" s="61" t="s">
        <v>706</v>
      </c>
      <c r="F52" s="61">
        <v>9000</v>
      </c>
      <c r="N52" s="61" t="s">
        <v>511</v>
      </c>
      <c r="O52" s="61" t="s">
        <v>613</v>
      </c>
      <c r="P52" s="61" t="s">
        <v>563</v>
      </c>
      <c r="Q52" s="61" t="str">
        <f t="shared" si="7"/>
        <v>BUS</v>
      </c>
      <c r="R52" s="61" t="s">
        <v>687</v>
      </c>
      <c r="S52"/>
      <c r="T52" s="273" t="s">
        <v>60</v>
      </c>
      <c r="U52" s="957" t="s">
        <v>687</v>
      </c>
      <c r="V52" s="965"/>
      <c r="W52" s="958">
        <f t="shared" si="15"/>
        <v>0</v>
      </c>
      <c r="X52" s="959">
        <f t="shared" si="15"/>
        <v>0</v>
      </c>
      <c r="Y52" s="959">
        <f t="shared" si="15"/>
        <v>0</v>
      </c>
      <c r="Z52" s="959">
        <f t="shared" si="15"/>
        <v>0</v>
      </c>
      <c r="AA52" s="959">
        <f t="shared" si="15"/>
        <v>0</v>
      </c>
      <c r="AB52" s="959">
        <f t="shared" si="15"/>
        <v>0</v>
      </c>
      <c r="AC52" s="960">
        <f t="shared" si="15"/>
        <v>0</v>
      </c>
      <c r="AD52" s="103" cm="1">
        <f t="array" ref="AD52">IF(W52,INDEX('AEA2012 update'!$K$6:$R$104,MATCH($T52&amp;$R52,'AEA2012 update'!$A$6:$A$104&amp;'AEA2012 update'!$B$6:$B$104,0),MATCH(AD$16,'AEA2012 update'!$S$4:$Z$4,0)),INDEX('AEA2012 update'!$K$6:$R$104,MATCH($T52&amp;$U52,'AEA2012 update'!$A$6:$A$104&amp;'AEA2012 update'!$B$6:$B$104,0),MATCH(AD$16,'AEA2012 update'!$S$4:$Z$4,0)))</f>
        <v>2374350.3925985522</v>
      </c>
      <c r="AE52" s="103" cm="1">
        <f t="array" ref="AE52">IF(X52,INDEX('AEA2012 update'!$K$6:$R$104,MATCH($T52&amp;$R52,'AEA2012 update'!$A$6:$A$104&amp;'AEA2012 update'!$B$6:$B$104,0),MATCH(AE$16,'AEA2012 update'!$S$4:$Z$4,0)),INDEX('AEA2012 update'!$K$6:$R$104,MATCH($T52&amp;$U52,'AEA2012 update'!$A$6:$A$104&amp;'AEA2012 update'!$B$6:$B$104,0),MATCH(AE$16,'AEA2012 update'!$S$4:$Z$4,0)))</f>
        <v>2567125.8296431107</v>
      </c>
      <c r="AF52" s="103" cm="1">
        <f t="array" ref="AF52">IF(Y52,INDEX('AEA2012 update'!$K$6:$R$104,MATCH($T52&amp;$R52,'AEA2012 update'!$A$6:$A$104&amp;'AEA2012 update'!$B$6:$B$104,0),MATCH(AF$16,'AEA2012 update'!$S$4:$Z$4,0)),INDEX('AEA2012 update'!$K$6:$R$104,MATCH($T52&amp;$U52,'AEA2012 update'!$A$6:$A$104&amp;'AEA2012 update'!$B$6:$B$104,0),MATCH(AF$16,'AEA2012 update'!$S$4:$Z$4,0)))</f>
        <v>2615057.9469287945</v>
      </c>
      <c r="AG52" s="103" cm="1">
        <f t="array" ref="AG52">IF(Z52,INDEX('AEA2012 update'!$K$6:$R$104,MATCH($T52&amp;$R52,'AEA2012 update'!$A$6:$A$104&amp;'AEA2012 update'!$B$6:$B$104,0),MATCH(AG$16,'AEA2012 update'!$S$4:$Z$4,0)),INDEX('AEA2012 update'!$K$6:$R$104,MATCH($T52&amp;$U52,'AEA2012 update'!$A$6:$A$104&amp;'AEA2012 update'!$B$6:$B$104,0),MATCH(AG$16,'AEA2012 update'!$S$4:$Z$4,0)))</f>
        <v>2662990.0642144778</v>
      </c>
      <c r="AH52" s="103" cm="1">
        <f t="array" ref="AH52">IF(AA52,INDEX('AEA2012 update'!$K$6:$R$104,MATCH($T52&amp;$R52,'AEA2012 update'!$A$6:$A$104&amp;'AEA2012 update'!$B$6:$B$104,0),MATCH(AH$16,'AEA2012 update'!$S$4:$Z$4,0)),INDEX('AEA2012 update'!$K$6:$R$104,MATCH($T52&amp;$U52,'AEA2012 update'!$A$6:$A$104&amp;'AEA2012 update'!$B$6:$B$104,0),MATCH(AH$16,'AEA2012 update'!$S$4:$Z$4,0)))</f>
        <v>2693807.5488051251</v>
      </c>
      <c r="AI52" s="103" cm="1">
        <f t="array" ref="AI52">IF(AB52,INDEX('AEA2012 update'!$K$6:$R$104,MATCH($T52&amp;$R52,'AEA2012 update'!$A$6:$A$104&amp;'AEA2012 update'!$B$6:$B$104,0),MATCH(AI$16,'AEA2012 update'!$S$4:$Z$4,0)),INDEX('AEA2012 update'!$K$6:$R$104,MATCH($T52&amp;$U52,'AEA2012 update'!$A$6:$A$104&amp;'AEA2012 update'!$B$6:$B$104,0),MATCH(AI$16,'AEA2012 update'!$S$4:$Z$4,0)))</f>
        <v>2724625.0333957719</v>
      </c>
      <c r="AJ52" s="103" cm="1">
        <f t="array" ref="AJ52">IF(AC52,INDEX('AEA2012 update'!$K$6:$R$104,MATCH($T52&amp;$R52,'AEA2012 update'!$A$6:$A$104&amp;'AEA2012 update'!$B$6:$B$104,0),MATCH(AJ$16,'AEA2012 update'!$S$4:$Z$4,0)),INDEX('AEA2012 update'!$K$6:$R$104,MATCH($T52&amp;$U52,'AEA2012 update'!$A$6:$A$104&amp;'AEA2012 update'!$B$6:$B$104,0),MATCH(AJ$16,'AEA2012 update'!$S$4:$Z$4,0)))</f>
        <v>2794986.1891357079</v>
      </c>
      <c r="AK52" s="103" t="str">
        <f t="shared" si="13"/>
        <v>BUSODS</v>
      </c>
      <c r="AL52" s="67">
        <f>1/INDEX(Analytica!$AA$17:$AE$48,MATCH($AK52,Analytica!$A$17:$A$48,0),MATCH(AL$16,Analytica!$AA$16:$AE$16,0))</f>
        <v>15.540416584459544</v>
      </c>
      <c r="AM52" s="67">
        <f t="array" ref="AM52">IF($AE$1,AL52*(1+INDEX(AM$1:AM$2,MATCH($O52,$AI$1:$AI$2,0)))^(AM$16-AL$16),INDEX('AEA2012 update'!$AC$6:$AG$104,MATCH($T52&amp;$U52,'AEA2012 update'!$A$6:$A$104&amp;'AEA2012 update'!$B$6:$B$104,0),MATCH(AM$16,'AEA2012 update'!$AC$4:$AG$4,0)))</f>
        <v>15.308473924384414</v>
      </c>
      <c r="AN52" s="67">
        <f t="array" ref="AN52">IF($AE$1,AM52*(1+INDEX(AN$1:AN$2,MATCH($O52,$AI$1:$AI$2,0)))^(AN$16-AM$16),INDEX('AEA2012 update'!$AC$6:$AG$104,MATCH($T52&amp;$U52,'AEA2012 update'!$A$6:$A$104&amp;'AEA2012 update'!$B$6:$B$104,0),MATCH(AN$16,'AEA2012 update'!$AC$4:$AG$4,0)))</f>
        <v>14.198323043971449</v>
      </c>
      <c r="AO52" s="67">
        <f t="array" ref="AO52">IF($AE$1,AN52*(1+INDEX(AO$1:AO$2,MATCH($O52,$AI$1:$AI$2,0)))^(AO$16-AN$16),INDEX('AEA2012 update'!$AC$6:$AG$104,MATCH($T52&amp;$U52,'AEA2012 update'!$A$6:$A$104&amp;'AEA2012 update'!$B$6:$B$104,0),MATCH(AO$16,'AEA2012 update'!$AC$4:$AG$4,0)))</f>
        <v>12.840708856152222</v>
      </c>
      <c r="AP52" s="67">
        <f t="array" ref="AP52">IF($AE$1,AO52*(1+INDEX(AP$1:AP$2,MATCH($O52,$AI$1:$AI$2,0)))^(AP$16-AO$16),INDEX('AEA2012 update'!$AC$6:$AG$104,MATCH($T52&amp;$U52,'AEA2012 update'!$A$6:$A$104&amp;'AEA2012 update'!$B$6:$B$104,0),MATCH(AP$16,'AEA2012 update'!$AC$4:$AG$4,0)))</f>
        <v>11.612906919910877</v>
      </c>
      <c r="AQ52" s="67"/>
      <c r="AR52" s="274">
        <f t="shared" si="10"/>
        <v>-4.9750416666666433E-3</v>
      </c>
      <c r="AS52" s="274">
        <f t="shared" si="11"/>
        <v>-8.0468874575124003E-3</v>
      </c>
      <c r="AY52" s="61" t="str">
        <f t="shared" si="12"/>
        <v>BUS-ODS</v>
      </c>
      <c r="AZ52" s="80" t="e" cm="1">
        <f t="array" aca="1" ref="AZ52" ca="1">AL52/INDIRECT("cv."&amp;LEFT($U52,6)&amp;".hhv.MJL") * 100</f>
        <v>#REF!</v>
      </c>
      <c r="BA52" s="80" t="e" cm="1">
        <f t="array" aca="1" ref="BA52" ca="1">AM52/INDIRECT("cv."&amp;LEFT($U52,6)&amp;".hhv.MJL") * 100</f>
        <v>#REF!</v>
      </c>
      <c r="BB52" s="80" t="e" cm="1">
        <f t="array" aca="1" ref="BB52" ca="1">AN52/INDIRECT("cv."&amp;LEFT($U52,6)&amp;".hhv.MJL") * 100</f>
        <v>#REF!</v>
      </c>
      <c r="BC52" s="80" t="e" cm="1">
        <f t="array" aca="1" ref="BC52" ca="1">AO52/INDIRECT("cv."&amp;LEFT($U52,6)&amp;".hhv.MJL") * 100</f>
        <v>#REF!</v>
      </c>
      <c r="BD52" s="80" t="e" cm="1">
        <f t="array" aca="1" ref="BD52" ca="1">AP52/INDIRECT("cv."&amp;LEFT($U52,6)&amp;".hhv.MJL") * 100</f>
        <v>#REF!</v>
      </c>
    </row>
    <row r="53" spans="1:61" x14ac:dyDescent="0.25">
      <c r="C53" s="195"/>
      <c r="N53" s="61" t="s">
        <v>506</v>
      </c>
      <c r="O53" s="61" t="s">
        <v>613</v>
      </c>
      <c r="P53" s="61" t="s">
        <v>563</v>
      </c>
      <c r="Q53" s="61" t="str">
        <f t="shared" si="7"/>
        <v>BUS</v>
      </c>
      <c r="R53" s="61" t="s">
        <v>687</v>
      </c>
      <c r="S53"/>
      <c r="T53" s="273" t="s">
        <v>60</v>
      </c>
      <c r="U53" s="957" t="s">
        <v>687</v>
      </c>
      <c r="V53" s="965"/>
      <c r="W53" s="958">
        <f t="shared" ref="W53:AC68" si="16">IF($V53="",0,IF(W$19&gt;=$V53,1,0))</f>
        <v>0</v>
      </c>
      <c r="X53" s="959">
        <f t="shared" si="16"/>
        <v>0</v>
      </c>
      <c r="Y53" s="959">
        <f t="shared" si="16"/>
        <v>0</v>
      </c>
      <c r="Z53" s="959">
        <f t="shared" si="16"/>
        <v>0</v>
      </c>
      <c r="AA53" s="959">
        <f t="shared" si="16"/>
        <v>0</v>
      </c>
      <c r="AB53" s="959">
        <f t="shared" si="16"/>
        <v>0</v>
      </c>
      <c r="AC53" s="960">
        <f t="shared" si="16"/>
        <v>0</v>
      </c>
      <c r="AD53" s="103" cm="1">
        <f t="array" ref="AD53">IF(W53,INDEX('AEA2012 update'!$K$6:$R$104,MATCH($T53&amp;$R53,'AEA2012 update'!$A$6:$A$104&amp;'AEA2012 update'!$B$6:$B$104,0),MATCH(AD$16,'AEA2012 update'!$S$4:$Z$4,0)),INDEX('AEA2012 update'!$K$6:$R$104,MATCH($T53&amp;$U53,'AEA2012 update'!$A$6:$A$104&amp;'AEA2012 update'!$B$6:$B$104,0),MATCH(AD$16,'AEA2012 update'!$S$4:$Z$4,0)))</f>
        <v>2374350.3925985522</v>
      </c>
      <c r="AE53" s="103" cm="1">
        <f t="array" ref="AE53">IF(X53,INDEX('AEA2012 update'!$K$6:$R$104,MATCH($T53&amp;$R53,'AEA2012 update'!$A$6:$A$104&amp;'AEA2012 update'!$B$6:$B$104,0),MATCH(AE$16,'AEA2012 update'!$S$4:$Z$4,0)),INDEX('AEA2012 update'!$K$6:$R$104,MATCH($T53&amp;$U53,'AEA2012 update'!$A$6:$A$104&amp;'AEA2012 update'!$B$6:$B$104,0),MATCH(AE$16,'AEA2012 update'!$S$4:$Z$4,0)))</f>
        <v>2567125.8296431107</v>
      </c>
      <c r="AF53" s="103" cm="1">
        <f t="array" ref="AF53">IF(Y53,INDEX('AEA2012 update'!$K$6:$R$104,MATCH($T53&amp;$R53,'AEA2012 update'!$A$6:$A$104&amp;'AEA2012 update'!$B$6:$B$104,0),MATCH(AF$16,'AEA2012 update'!$S$4:$Z$4,0)),INDEX('AEA2012 update'!$K$6:$R$104,MATCH($T53&amp;$U53,'AEA2012 update'!$A$6:$A$104&amp;'AEA2012 update'!$B$6:$B$104,0),MATCH(AF$16,'AEA2012 update'!$S$4:$Z$4,0)))</f>
        <v>2615057.9469287945</v>
      </c>
      <c r="AG53" s="103" cm="1">
        <f t="array" ref="AG53">IF(Z53,INDEX('AEA2012 update'!$K$6:$R$104,MATCH($T53&amp;$R53,'AEA2012 update'!$A$6:$A$104&amp;'AEA2012 update'!$B$6:$B$104,0),MATCH(AG$16,'AEA2012 update'!$S$4:$Z$4,0)),INDEX('AEA2012 update'!$K$6:$R$104,MATCH($T53&amp;$U53,'AEA2012 update'!$A$6:$A$104&amp;'AEA2012 update'!$B$6:$B$104,0),MATCH(AG$16,'AEA2012 update'!$S$4:$Z$4,0)))</f>
        <v>2662990.0642144778</v>
      </c>
      <c r="AH53" s="103" cm="1">
        <f t="array" ref="AH53">IF(AA53,INDEX('AEA2012 update'!$K$6:$R$104,MATCH($T53&amp;$R53,'AEA2012 update'!$A$6:$A$104&amp;'AEA2012 update'!$B$6:$B$104,0),MATCH(AH$16,'AEA2012 update'!$S$4:$Z$4,0)),INDEX('AEA2012 update'!$K$6:$R$104,MATCH($T53&amp;$U53,'AEA2012 update'!$A$6:$A$104&amp;'AEA2012 update'!$B$6:$B$104,0),MATCH(AH$16,'AEA2012 update'!$S$4:$Z$4,0)))</f>
        <v>2693807.5488051251</v>
      </c>
      <c r="AI53" s="103" cm="1">
        <f t="array" ref="AI53">IF(AB53,INDEX('AEA2012 update'!$K$6:$R$104,MATCH($T53&amp;$R53,'AEA2012 update'!$A$6:$A$104&amp;'AEA2012 update'!$B$6:$B$104,0),MATCH(AI$16,'AEA2012 update'!$S$4:$Z$4,0)),INDEX('AEA2012 update'!$K$6:$R$104,MATCH($T53&amp;$U53,'AEA2012 update'!$A$6:$A$104&amp;'AEA2012 update'!$B$6:$B$104,0),MATCH(AI$16,'AEA2012 update'!$S$4:$Z$4,0)))</f>
        <v>2724625.0333957719</v>
      </c>
      <c r="AJ53" s="103" cm="1">
        <f t="array" ref="AJ53">IF(AC53,INDEX('AEA2012 update'!$K$6:$R$104,MATCH($T53&amp;$R53,'AEA2012 update'!$A$6:$A$104&amp;'AEA2012 update'!$B$6:$B$104,0),MATCH(AJ$16,'AEA2012 update'!$S$4:$Z$4,0)),INDEX('AEA2012 update'!$K$6:$R$104,MATCH($T53&amp;$U53,'AEA2012 update'!$A$6:$A$104&amp;'AEA2012 update'!$B$6:$B$104,0),MATCH(AJ$16,'AEA2012 update'!$S$4:$Z$4,0)))</f>
        <v>2794986.1891357079</v>
      </c>
      <c r="AK53" s="103" t="str">
        <f t="shared" si="13"/>
        <v>BUSBGS</v>
      </c>
      <c r="AL53" s="67">
        <f>INDEX('Vehicle data '!$AD$20:$AD$110,MATCH($AK53,'Vehicle data '!$AC$20:$AC$110,0))/INDEX('Vehicle data '!$AD$20:$AD$110,MATCH($AK$52,'Vehicle data '!$AC$20:$AC$110,0))*AL$52</f>
        <v>15.540416584459544</v>
      </c>
      <c r="AM53" s="67">
        <f t="array" ref="AM53">IF($AE$1,AL53*(1+INDEX(AM$1:AM$2,MATCH($O53,$AI$1:$AI$2,0)))^(AM$16-AL$16),INDEX('AEA2012 update'!$AC$6:$AG$104,MATCH($T53&amp;$U53,'AEA2012 update'!$A$6:$A$104&amp;'AEA2012 update'!$B$6:$B$104,0),MATCH(AM$16,'AEA2012 update'!$AC$4:$AG$4,0)))</f>
        <v>15.308473924384414</v>
      </c>
      <c r="AN53" s="67">
        <f t="array" ref="AN53">IF($AE$1,AM53*(1+INDEX(AN$1:AN$2,MATCH($O53,$AI$1:$AI$2,0)))^(AN$16-AM$16),INDEX('AEA2012 update'!$AC$6:$AG$104,MATCH($T53&amp;$U53,'AEA2012 update'!$A$6:$A$104&amp;'AEA2012 update'!$B$6:$B$104,0),MATCH(AN$16,'AEA2012 update'!$AC$4:$AG$4,0)))</f>
        <v>14.198323043971449</v>
      </c>
      <c r="AO53" s="67">
        <f t="array" ref="AO53">IF($AE$1,AN53*(1+INDEX(AO$1:AO$2,MATCH($O53,$AI$1:$AI$2,0)))^(AO$16-AN$16),INDEX('AEA2012 update'!$AC$6:$AG$104,MATCH($T53&amp;$U53,'AEA2012 update'!$A$6:$A$104&amp;'AEA2012 update'!$B$6:$B$104,0),MATCH(AO$16,'AEA2012 update'!$AC$4:$AG$4,0)))</f>
        <v>12.840708856152222</v>
      </c>
      <c r="AP53" s="67">
        <f t="array" ref="AP53">IF($AE$1,AO53*(1+INDEX(AP$1:AP$2,MATCH($O53,$AI$1:$AI$2,0)))^(AP$16-AO$16),INDEX('AEA2012 update'!$AC$6:$AG$104,MATCH($T53&amp;$U53,'AEA2012 update'!$A$6:$A$104&amp;'AEA2012 update'!$B$6:$B$104,0),MATCH(AP$16,'AEA2012 update'!$AC$4:$AG$4,0)))</f>
        <v>11.612906919910877</v>
      </c>
      <c r="AQ53" s="67"/>
      <c r="AR53" s="274">
        <f t="shared" si="10"/>
        <v>-4.9750416666666433E-3</v>
      </c>
      <c r="AS53" s="274">
        <f t="shared" si="11"/>
        <v>-8.0468874575124003E-3</v>
      </c>
      <c r="AY53" s="61" t="str">
        <f t="shared" si="12"/>
        <v>BUS-BGS</v>
      </c>
      <c r="AZ53" s="80" t="e" cm="1">
        <f t="array" aca="1" ref="AZ53" ca="1">AL53/INDIRECT("cv."&amp;LEFT($U53,6)&amp;".hhv.MJL") * 100</f>
        <v>#REF!</v>
      </c>
      <c r="BA53" s="80" t="e" cm="1">
        <f t="array" aca="1" ref="BA53" ca="1">AM53/INDIRECT("cv."&amp;LEFT($U53,6)&amp;".hhv.MJL") * 100</f>
        <v>#REF!</v>
      </c>
      <c r="BB53" s="80" t="e" cm="1">
        <f t="array" aca="1" ref="BB53" ca="1">AN53/INDIRECT("cv."&amp;LEFT($U53,6)&amp;".hhv.MJL") * 100</f>
        <v>#REF!</v>
      </c>
      <c r="BC53" s="80" t="e" cm="1">
        <f t="array" aca="1" ref="BC53" ca="1">AO53/INDIRECT("cv."&amp;LEFT($U53,6)&amp;".hhv.MJL") * 100</f>
        <v>#REF!</v>
      </c>
      <c r="BD53" s="80" t="e" cm="1">
        <f t="array" aca="1" ref="BD53" ca="1">AP53/INDIRECT("cv."&amp;LEFT($U53,6)&amp;".hhv.MJL") * 100</f>
        <v>#REF!</v>
      </c>
    </row>
    <row r="54" spans="1:61" ht="15.75" customHeight="1" x14ac:dyDescent="0.25">
      <c r="C54" s="195" t="s">
        <v>712</v>
      </c>
      <c r="D54" s="61" t="s">
        <v>713</v>
      </c>
      <c r="E54" s="61" t="s">
        <v>706</v>
      </c>
      <c r="F54" s="61">
        <v>11000</v>
      </c>
      <c r="N54" s="61" t="s">
        <v>501</v>
      </c>
      <c r="O54" s="61" t="s">
        <v>613</v>
      </c>
      <c r="P54" s="61" t="s">
        <v>563</v>
      </c>
      <c r="Q54" s="61" t="str">
        <f t="shared" si="7"/>
        <v>BUS</v>
      </c>
      <c r="R54" s="61" t="s">
        <v>687</v>
      </c>
      <c r="S54"/>
      <c r="T54" s="273" t="s">
        <v>60</v>
      </c>
      <c r="U54" s="957" t="s">
        <v>692</v>
      </c>
      <c r="V54" s="965">
        <v>2050</v>
      </c>
      <c r="W54" s="958">
        <f t="shared" si="16"/>
        <v>0</v>
      </c>
      <c r="X54" s="959">
        <f t="shared" si="16"/>
        <v>0</v>
      </c>
      <c r="Y54" s="959">
        <f t="shared" si="16"/>
        <v>0</v>
      </c>
      <c r="Z54" s="959">
        <f t="shared" si="16"/>
        <v>0</v>
      </c>
      <c r="AA54" s="959">
        <f t="shared" si="16"/>
        <v>0</v>
      </c>
      <c r="AB54" s="959">
        <f t="shared" si="16"/>
        <v>0</v>
      </c>
      <c r="AC54" s="960">
        <f t="shared" si="16"/>
        <v>1</v>
      </c>
      <c r="AD54" s="103" cm="1">
        <f t="array" ref="AD54">IF(W54,INDEX('AEA2012 update'!$K$6:$R$104,MATCH($T54&amp;$R54,'AEA2012 update'!$A$6:$A$104&amp;'AEA2012 update'!$B$6:$B$104,0),MATCH(AD$16,'AEA2012 update'!$S$4:$Z$4,0)),INDEX('AEA2012 update'!$K$6:$R$104,MATCH($T54&amp;$U54,'AEA2012 update'!$A$6:$A$104&amp;'AEA2012 update'!$B$6:$B$104,0),MATCH(AD$16,'AEA2012 update'!$S$4:$Z$4,0)))</f>
        <v>4768239.6435325667</v>
      </c>
      <c r="AE54" s="103" cm="1">
        <f t="array" ref="AE54">IF(X54,INDEX('AEA2012 update'!$K$6:$R$104,MATCH($T54&amp;$R54,'AEA2012 update'!$A$6:$A$104&amp;'AEA2012 update'!$B$6:$B$104,0),MATCH(AE$16,'AEA2012 update'!$S$4:$Z$4,0)),INDEX('AEA2012 update'!$K$6:$R$104,MATCH($T54&amp;$U54,'AEA2012 update'!$A$6:$A$104&amp;'AEA2012 update'!$B$6:$B$104,0),MATCH(AE$16,'AEA2012 update'!$S$4:$Z$4,0)))</f>
        <v>3635729.2317425008</v>
      </c>
      <c r="AF54" s="103" cm="1">
        <f t="array" ref="AF54">IF(Y54,INDEX('AEA2012 update'!$K$6:$R$104,MATCH($T54&amp;$R54,'AEA2012 update'!$A$6:$A$104&amp;'AEA2012 update'!$B$6:$B$104,0),MATCH(AF$16,'AEA2012 update'!$S$4:$Z$4,0)),INDEX('AEA2012 update'!$K$6:$R$104,MATCH($T54&amp;$U54,'AEA2012 update'!$A$6:$A$104&amp;'AEA2012 update'!$B$6:$B$104,0),MATCH(AF$16,'AEA2012 update'!$S$4:$Z$4,0)))</f>
        <v>3447769.0113726826</v>
      </c>
      <c r="AG54" s="103" cm="1">
        <f t="array" ref="AG54">IF(Z54,INDEX('AEA2012 update'!$K$6:$R$104,MATCH($T54&amp;$R54,'AEA2012 update'!$A$6:$A$104&amp;'AEA2012 update'!$B$6:$B$104,0),MATCH(AG$16,'AEA2012 update'!$S$4:$Z$4,0)),INDEX('AEA2012 update'!$K$6:$R$104,MATCH($T54&amp;$U54,'AEA2012 update'!$A$6:$A$104&amp;'AEA2012 update'!$B$6:$B$104,0),MATCH(AG$16,'AEA2012 update'!$S$4:$Z$4,0)))</f>
        <v>3259808.7910028636</v>
      </c>
      <c r="AH54" s="103" cm="1">
        <f t="array" ref="AH54">IF(AA54,INDEX('AEA2012 update'!$K$6:$R$104,MATCH($T54&amp;$R54,'AEA2012 update'!$A$6:$A$104&amp;'AEA2012 update'!$B$6:$B$104,0),MATCH(AH$16,'AEA2012 update'!$S$4:$Z$4,0)),INDEX('AEA2012 update'!$K$6:$R$104,MATCH($T54&amp;$U54,'AEA2012 update'!$A$6:$A$104&amp;'AEA2012 update'!$B$6:$B$104,0),MATCH(AH$16,'AEA2012 update'!$S$4:$Z$4,0)))</f>
        <v>3281975.7365715932</v>
      </c>
      <c r="AI54" s="103" cm="1">
        <f t="array" ref="AI54">IF(AB54,INDEX('AEA2012 update'!$K$6:$R$104,MATCH($T54&amp;$R54,'AEA2012 update'!$A$6:$A$104&amp;'AEA2012 update'!$B$6:$B$104,0),MATCH(AI$16,'AEA2012 update'!$S$4:$Z$4,0)),INDEX('AEA2012 update'!$K$6:$R$104,MATCH($T54&amp;$U54,'AEA2012 update'!$A$6:$A$104&amp;'AEA2012 update'!$B$6:$B$104,0),MATCH(AI$16,'AEA2012 update'!$S$4:$Z$4,0)))</f>
        <v>3304142.6821403229</v>
      </c>
      <c r="AJ54" s="103" cm="1">
        <f t="array" ref="AJ54">IF(AC54,INDEX('AEA2012 update'!$K$6:$R$104,MATCH($T54&amp;$R54,'AEA2012 update'!$A$6:$A$104&amp;'AEA2012 update'!$B$6:$B$104,0),MATCH(AJ$16,'AEA2012 update'!$S$4:$Z$4,0)),INDEX('AEA2012 update'!$K$6:$R$104,MATCH($T54&amp;$U54,'AEA2012 update'!$A$6:$A$104&amp;'AEA2012 update'!$B$6:$B$104,0),MATCH(AJ$16,'AEA2012 update'!$S$4:$Z$4,0)))</f>
        <v>2794986.1891357079</v>
      </c>
      <c r="AK54" s="103" t="str">
        <f t="shared" si="13"/>
        <v>BUSELC</v>
      </c>
      <c r="AL54" s="67">
        <f>INDEX('Vehicle data '!$AD$20:$AD$110,MATCH($AK54,'Vehicle data '!$AC$20:$AC$110,0))/INDEX('Vehicle data '!$AD$20:$AD$110,MATCH($AK$52,'Vehicle data '!$AC$20:$AC$110,0))*AL$52</f>
        <v>4.7713841489159794</v>
      </c>
      <c r="AM54" s="67">
        <f t="array" ref="AM54">IF($AE$1,AL54*(1+INDEX(AM$1:AM$2,MATCH($O54,$AI$1:$AI$2,0)))^(AM$16-AL$16),INDEX('AEA2012 update'!$AC$6:$AG$104,MATCH($T54&amp;$U54,'AEA2012 update'!$A$6:$A$104&amp;'AEA2012 update'!$B$6:$B$104,0),MATCH(AM$16,'AEA2012 update'!$AC$4:$AG$4,0)))</f>
        <v>4.7001706440703899</v>
      </c>
      <c r="AN54" s="67">
        <f t="array" ref="AN54">IF($AE$1,AM54*(1+INDEX(AN$1:AN$2,MATCH($O54,$AI$1:$AI$2,0)))^(AN$16-AM$16),INDEX('AEA2012 update'!$AC$6:$AG$104,MATCH($T54&amp;$U54,'AEA2012 update'!$A$6:$A$104&amp;'AEA2012 update'!$B$6:$B$104,0),MATCH(AN$16,'AEA2012 update'!$AC$4:$AG$4,0)))</f>
        <v>4.3593203016796647</v>
      </c>
      <c r="AO54" s="67">
        <f t="array" ref="AO54">IF($AE$1,AN54*(1+INDEX(AO$1:AO$2,MATCH($O54,$AI$1:$AI$2,0)))^(AO$16-AN$16),INDEX('AEA2012 update'!$AC$6:$AG$104,MATCH($T54&amp;$U54,'AEA2012 update'!$A$6:$A$104&amp;'AEA2012 update'!$B$6:$B$104,0),MATCH(AO$16,'AEA2012 update'!$AC$4:$AG$4,0)))</f>
        <v>3.9424911400610618</v>
      </c>
      <c r="AP54" s="67">
        <f t="array" ref="AP54">IF($AE$1,AO54*(1+INDEX(AP$1:AP$2,MATCH($O54,$AI$1:$AI$2,0)))^(AP$16-AO$16),INDEX('AEA2012 update'!$AC$6:$AG$104,MATCH($T54&amp;$U54,'AEA2012 update'!$A$6:$A$104&amp;'AEA2012 update'!$B$6:$B$104,0),MATCH(AP$16,'AEA2012 update'!$AC$4:$AG$4,0)))</f>
        <v>3.5655183179522494</v>
      </c>
      <c r="AQ54" s="67"/>
      <c r="AR54" s="274">
        <f t="shared" si="10"/>
        <v>-4.9750416666666606E-3</v>
      </c>
      <c r="AS54" s="274">
        <f t="shared" si="11"/>
        <v>-8.0468874575124038E-3</v>
      </c>
      <c r="AY54" s="61" t="str">
        <f t="shared" si="12"/>
        <v>BUS-ELC</v>
      </c>
      <c r="AZ54" s="80" t="e" cm="1">
        <f t="array" aca="1" ref="AZ54" ca="1">AL54/INDIRECT("cv."&amp;LEFT($U54,6)&amp;".hhv.MJL") * 100</f>
        <v>#REF!</v>
      </c>
      <c r="BA54" s="80" t="e" cm="1">
        <f t="array" aca="1" ref="BA54" ca="1">AM54/INDIRECT("cv."&amp;LEFT($U54,6)&amp;".hhv.MJL") * 100</f>
        <v>#REF!</v>
      </c>
      <c r="BB54" s="80" t="e" cm="1">
        <f t="array" aca="1" ref="BB54" ca="1">AN54/INDIRECT("cv."&amp;LEFT($U54,6)&amp;".hhv.MJL") * 100</f>
        <v>#REF!</v>
      </c>
      <c r="BC54" s="80" t="e" cm="1">
        <f t="array" aca="1" ref="BC54" ca="1">AO54/INDIRECT("cv."&amp;LEFT($U54,6)&amp;".hhv.MJL") * 100</f>
        <v>#REF!</v>
      </c>
      <c r="BD54" s="80" t="e" cm="1">
        <f t="array" aca="1" ref="BD54" ca="1">AP54/INDIRECT("cv."&amp;LEFT($U54,6)&amp;".hhv.MJL") * 100</f>
        <v>#REF!</v>
      </c>
    </row>
    <row r="55" spans="1:61" x14ac:dyDescent="0.25">
      <c r="C55" s="61" t="s">
        <v>716</v>
      </c>
      <c r="D55" s="61" t="s">
        <v>713</v>
      </c>
      <c r="E55" s="61" t="s">
        <v>484</v>
      </c>
      <c r="F55" s="61">
        <v>166.19066377782153</v>
      </c>
      <c r="N55" s="61" t="s">
        <v>504</v>
      </c>
      <c r="O55" s="61" t="s">
        <v>613</v>
      </c>
      <c r="P55" s="61" t="s">
        <v>563</v>
      </c>
      <c r="Q55" s="61" t="str">
        <f t="shared" si="7"/>
        <v>BUS</v>
      </c>
      <c r="R55" s="61" t="s">
        <v>687</v>
      </c>
      <c r="S55" s="65"/>
      <c r="T55" s="273" t="s">
        <v>60</v>
      </c>
      <c r="U55" s="957" t="s">
        <v>699</v>
      </c>
      <c r="V55" s="965">
        <v>2050</v>
      </c>
      <c r="W55" s="958">
        <f t="shared" si="16"/>
        <v>0</v>
      </c>
      <c r="X55" s="959">
        <f t="shared" si="16"/>
        <v>0</v>
      </c>
      <c r="Y55" s="959">
        <f t="shared" si="16"/>
        <v>0</v>
      </c>
      <c r="Z55" s="959">
        <f t="shared" si="16"/>
        <v>0</v>
      </c>
      <c r="AA55" s="959">
        <f t="shared" si="16"/>
        <v>0</v>
      </c>
      <c r="AB55" s="959">
        <f t="shared" si="16"/>
        <v>0</v>
      </c>
      <c r="AC55" s="960">
        <f t="shared" si="16"/>
        <v>1</v>
      </c>
      <c r="AD55" s="103" cm="1">
        <f t="array" ref="AD55">IF(W55,INDEX('AEA2012 update'!$K$6:$R$104,MATCH($T55&amp;$R55,'AEA2012 update'!$A$6:$A$104&amp;'AEA2012 update'!$B$6:$B$104,0),MATCH(AD$16,'AEA2012 update'!$S$4:$Z$4,0)),INDEX('AEA2012 update'!$K$6:$R$104,MATCH($T55&amp;$U55,'AEA2012 update'!$A$6:$A$104&amp;'AEA2012 update'!$B$6:$B$104,0),MATCH(AD$16,'AEA2012 update'!$S$4:$Z$4,0)))</f>
        <v>6296317.3270356311</v>
      </c>
      <c r="AE55" s="103" cm="1">
        <f t="array" ref="AE55">IF(X55,INDEX('AEA2012 update'!$K$6:$R$104,MATCH($T55&amp;$R55,'AEA2012 update'!$A$6:$A$104&amp;'AEA2012 update'!$B$6:$B$104,0),MATCH(AE$16,'AEA2012 update'!$S$4:$Z$4,0)),INDEX('AEA2012 update'!$K$6:$R$104,MATCH($T55&amp;$U55,'AEA2012 update'!$A$6:$A$104&amp;'AEA2012 update'!$B$6:$B$104,0),MATCH(AE$16,'AEA2012 update'!$S$4:$Z$4,0)))</f>
        <v>3689559.6792311268</v>
      </c>
      <c r="AF55" s="103" cm="1">
        <f t="array" ref="AF55">IF(Y55,INDEX('AEA2012 update'!$K$6:$R$104,MATCH($T55&amp;$R55,'AEA2012 update'!$A$6:$A$104&amp;'AEA2012 update'!$B$6:$B$104,0),MATCH(AF$16,'AEA2012 update'!$S$4:$Z$4,0)),INDEX('AEA2012 update'!$K$6:$R$104,MATCH($T55&amp;$U55,'AEA2012 update'!$A$6:$A$104&amp;'AEA2012 update'!$B$6:$B$104,0),MATCH(AF$16,'AEA2012 update'!$S$4:$Z$4,0)))</f>
        <v>3288765.9792292048</v>
      </c>
      <c r="AG55" s="103" cm="1">
        <f t="array" ref="AG55">IF(Z55,INDEX('AEA2012 update'!$K$6:$R$104,MATCH($T55&amp;$R55,'AEA2012 update'!$A$6:$A$104&amp;'AEA2012 update'!$B$6:$B$104,0),MATCH(AG$16,'AEA2012 update'!$S$4:$Z$4,0)),INDEX('AEA2012 update'!$K$6:$R$104,MATCH($T55&amp;$U55,'AEA2012 update'!$A$6:$A$104&amp;'AEA2012 update'!$B$6:$B$104,0),MATCH(AG$16,'AEA2012 update'!$S$4:$Z$4,0)))</f>
        <v>2887972.2792272815</v>
      </c>
      <c r="AH55" s="103" cm="1">
        <f t="array" ref="AH55">IF(AA55,INDEX('AEA2012 update'!$K$6:$R$104,MATCH($T55&amp;$R55,'AEA2012 update'!$A$6:$A$104&amp;'AEA2012 update'!$B$6:$B$104,0),MATCH(AH$16,'AEA2012 update'!$S$4:$Z$4,0)),INDEX('AEA2012 update'!$K$6:$R$104,MATCH($T55&amp;$U55,'AEA2012 update'!$A$6:$A$104&amp;'AEA2012 update'!$B$6:$B$104,0),MATCH(AH$16,'AEA2012 update'!$S$4:$Z$4,0)))</f>
        <v>2842515.1832835502</v>
      </c>
      <c r="AI55" s="103" cm="1">
        <f t="array" ref="AI55">IF(AB55,INDEX('AEA2012 update'!$K$6:$R$104,MATCH($T55&amp;$R55,'AEA2012 update'!$A$6:$A$104&amp;'AEA2012 update'!$B$6:$B$104,0),MATCH(AI$16,'AEA2012 update'!$S$4:$Z$4,0)),INDEX('AEA2012 update'!$K$6:$R$104,MATCH($T55&amp;$U55,'AEA2012 update'!$A$6:$A$104&amp;'AEA2012 update'!$B$6:$B$104,0),MATCH(AI$16,'AEA2012 update'!$S$4:$Z$4,0)))</f>
        <v>2797058.087339818</v>
      </c>
      <c r="AJ55" s="103" cm="1">
        <f t="array" ref="AJ55">IF(AC55,INDEX('AEA2012 update'!$K$6:$R$104,MATCH($T55&amp;$R55,'AEA2012 update'!$A$6:$A$104&amp;'AEA2012 update'!$B$6:$B$104,0),MATCH(AJ$16,'AEA2012 update'!$S$4:$Z$4,0)),INDEX('AEA2012 update'!$K$6:$R$104,MATCH($T55&amp;$U55,'AEA2012 update'!$A$6:$A$104&amp;'AEA2012 update'!$B$6:$B$104,0),MATCH(AJ$16,'AEA2012 update'!$S$4:$Z$4,0)))</f>
        <v>2794986.1891357079</v>
      </c>
      <c r="AK55" s="103" t="str">
        <f t="shared" si="13"/>
        <v>BUSHGN</v>
      </c>
      <c r="AL55" s="67">
        <f>INDEX('Vehicle data '!$AD$20:$AD$110,MATCH($AK55,'Vehicle data '!$AC$20:$AC$110,0))/INDEX('Vehicle data '!$AD$20:$AD$110,MATCH($AK$52,'Vehicle data '!$AC$20:$AC$110,0))*AL$52</f>
        <v>7.3663474579755475</v>
      </c>
      <c r="AM55" s="67">
        <f t="array" ref="AM55">IF($AE$1,AL55*(1+INDEX(AM$1:AM$2,MATCH($O55,$AI$1:$AI$2,0)))^(AM$16-AL$16),INDEX('AEA2012 update'!$AC$6:$AG$104,MATCH($T55&amp;$U55,'AEA2012 update'!$A$6:$A$104&amp;'AEA2012 update'!$B$6:$B$104,0),MATCH(AM$16,'AEA2012 update'!$AC$4:$AG$4,0)))</f>
        <v>7.2564038013718299</v>
      </c>
      <c r="AN55" s="67">
        <f t="array" ref="AN55">IF($AE$1,AM55*(1+INDEX(AN$1:AN$2,MATCH($O55,$AI$1:$AI$2,0)))^(AN$16-AM$16),INDEX('AEA2012 update'!$AC$6:$AG$104,MATCH($T55&amp;$U55,'AEA2012 update'!$A$6:$A$104&amp;'AEA2012 update'!$B$6:$B$104,0),MATCH(AN$16,'AEA2012 update'!$AC$4:$AG$4,0)))</f>
        <v>6.730178711365097</v>
      </c>
      <c r="AO55" s="67">
        <f t="array" ref="AO55">IF($AE$1,AN55*(1+INDEX(AO$1:AO$2,MATCH($O55,$AI$1:$AI$2,0)))^(AO$16-AN$16),INDEX('AEA2012 update'!$AC$6:$AG$104,MATCH($T55&amp;$U55,'AEA2012 update'!$A$6:$A$104&amp;'AEA2012 update'!$B$6:$B$104,0),MATCH(AO$16,'AEA2012 update'!$AC$4:$AG$4,0)))</f>
        <v>6.0866529881644471</v>
      </c>
      <c r="AP55" s="67">
        <f t="array" ref="AP55">IF($AE$1,AO55*(1+INDEX(AP$1:AP$2,MATCH($O55,$AI$1:$AI$2,0)))^(AP$16-AO$16),INDEX('AEA2012 update'!$AC$6:$AG$104,MATCH($T55&amp;$U55,'AEA2012 update'!$A$6:$A$104&amp;'AEA2012 update'!$B$6:$B$104,0),MATCH(AP$16,'AEA2012 update'!$AC$4:$AG$4,0)))</f>
        <v>5.5046598592947023</v>
      </c>
      <c r="AQ55" s="67"/>
      <c r="AR55" s="274">
        <f t="shared" si="10"/>
        <v>-4.9750416666666771E-3</v>
      </c>
      <c r="AS55" s="274">
        <f t="shared" si="11"/>
        <v>-8.0468874575123969E-3</v>
      </c>
      <c r="AY55" s="61" t="str">
        <f t="shared" si="12"/>
        <v>BUS-HGN</v>
      </c>
      <c r="AZ55" s="80" t="e" cm="1">
        <f t="array" aca="1" ref="AZ55" ca="1">AL55/INDIRECT("cv."&amp;LEFT($U55,6)&amp;".hhv.MJL") * 100</f>
        <v>#REF!</v>
      </c>
      <c r="BA55" s="80" t="e" cm="1">
        <f t="array" aca="1" ref="BA55" ca="1">AM55/INDIRECT("cv."&amp;LEFT($U55,6)&amp;".hhv.MJL") * 100</f>
        <v>#REF!</v>
      </c>
      <c r="BB55" s="80" t="e" cm="1">
        <f t="array" aca="1" ref="BB55" ca="1">AN55/INDIRECT("cv."&amp;LEFT($U55,6)&amp;".hhv.MJL") * 100</f>
        <v>#REF!</v>
      </c>
      <c r="BC55" s="80" t="e" cm="1">
        <f t="array" aca="1" ref="BC55" ca="1">AO55/INDIRECT("cv."&amp;LEFT($U55,6)&amp;".hhv.MJL") * 100</f>
        <v>#REF!</v>
      </c>
      <c r="BD55" s="80" t="e" cm="1">
        <f t="array" aca="1" ref="BD55" ca="1">AP55/INDIRECT("cv."&amp;LEFT($U55,6)&amp;".hhv.MJL") * 100</f>
        <v>#REF!</v>
      </c>
    </row>
    <row r="56" spans="1:61" x14ac:dyDescent="0.25">
      <c r="C56" s="195"/>
      <c r="N56" s="61" t="s">
        <v>509</v>
      </c>
      <c r="O56" s="61" t="s">
        <v>613</v>
      </c>
      <c r="P56" s="61" t="s">
        <v>563</v>
      </c>
      <c r="Q56" s="61" t="str">
        <f t="shared" si="7"/>
        <v>BUS</v>
      </c>
      <c r="R56" s="61" t="s">
        <v>687</v>
      </c>
      <c r="S56" s="65"/>
      <c r="T56" s="273" t="s">
        <v>60</v>
      </c>
      <c r="U56" s="957" t="s">
        <v>700</v>
      </c>
      <c r="V56" s="965"/>
      <c r="W56" s="958">
        <f t="shared" si="16"/>
        <v>0</v>
      </c>
      <c r="X56" s="959">
        <f t="shared" si="16"/>
        <v>0</v>
      </c>
      <c r="Y56" s="959">
        <f t="shared" si="16"/>
        <v>0</v>
      </c>
      <c r="Z56" s="959">
        <f t="shared" si="16"/>
        <v>0</v>
      </c>
      <c r="AA56" s="959">
        <f t="shared" si="16"/>
        <v>0</v>
      </c>
      <c r="AB56" s="959">
        <f t="shared" si="16"/>
        <v>0</v>
      </c>
      <c r="AC56" s="960">
        <f t="shared" si="16"/>
        <v>0</v>
      </c>
      <c r="AD56" s="103" cm="1">
        <f t="array" ref="AD56">IF(W56,INDEX('AEA2012 update'!$K$6:$R$104,MATCH($T56&amp;$R56,'AEA2012 update'!$A$6:$A$104&amp;'AEA2012 update'!$B$6:$B$104,0),MATCH(AD$16,'AEA2012 update'!$S$4:$Z$4,0)),INDEX('AEA2012 update'!$K$6:$R$104,MATCH($T56&amp;$U56,'AEA2012 update'!$A$6:$A$104&amp;'AEA2012 update'!$B$6:$B$104,0),MATCH(AD$16,'AEA2012 update'!$S$4:$Z$4,0)))</f>
        <v>2642700.4378444701</v>
      </c>
      <c r="AE56" s="103" cm="1">
        <f t="array" ref="AE56">IF(X56,INDEX('AEA2012 update'!$K$6:$R$104,MATCH($T56&amp;$R56,'AEA2012 update'!$A$6:$A$104&amp;'AEA2012 update'!$B$6:$B$104,0),MATCH(AE$16,'AEA2012 update'!$S$4:$Z$4,0)),INDEX('AEA2012 update'!$K$6:$R$104,MATCH($T56&amp;$U56,'AEA2012 update'!$A$6:$A$104&amp;'AEA2012 update'!$B$6:$B$104,0),MATCH(AE$16,'AEA2012 update'!$S$4:$Z$4,0)))</f>
        <v>2721902.5560658015</v>
      </c>
      <c r="AF56" s="103" cm="1">
        <f t="array" ref="AF56">IF(Y56,INDEX('AEA2012 update'!$K$6:$R$104,MATCH($T56&amp;$R56,'AEA2012 update'!$A$6:$A$104&amp;'AEA2012 update'!$B$6:$B$104,0),MATCH(AF$16,'AEA2012 update'!$S$4:$Z$4,0)),INDEX('AEA2012 update'!$K$6:$R$104,MATCH($T56&amp;$U56,'AEA2012 update'!$A$6:$A$104&amp;'AEA2012 update'!$B$6:$B$104,0),MATCH(AF$16,'AEA2012 update'!$S$4:$Z$4,0)))</f>
        <v>2750502.7102799211</v>
      </c>
      <c r="AG56" s="103" cm="1">
        <f t="array" ref="AG56">IF(Z56,INDEX('AEA2012 update'!$K$6:$R$104,MATCH($T56&amp;$R56,'AEA2012 update'!$A$6:$A$104&amp;'AEA2012 update'!$B$6:$B$104,0),MATCH(AG$16,'AEA2012 update'!$S$4:$Z$4,0)),INDEX('AEA2012 update'!$K$6:$R$104,MATCH($T56&amp;$U56,'AEA2012 update'!$A$6:$A$104&amp;'AEA2012 update'!$B$6:$B$104,0),MATCH(AG$16,'AEA2012 update'!$S$4:$Z$4,0)))</f>
        <v>2779102.8644940415</v>
      </c>
      <c r="AH56" s="103" cm="1">
        <f t="array" ref="AH56">IF(AA56,INDEX('AEA2012 update'!$K$6:$R$104,MATCH($T56&amp;$R56,'AEA2012 update'!$A$6:$A$104&amp;'AEA2012 update'!$B$6:$B$104,0),MATCH(AH$16,'AEA2012 update'!$S$4:$Z$4,0)),INDEX('AEA2012 update'!$K$6:$R$104,MATCH($T56&amp;$U56,'AEA2012 update'!$A$6:$A$104&amp;'AEA2012 update'!$B$6:$B$104,0),MATCH(AH$16,'AEA2012 update'!$S$4:$Z$4,0)))</f>
        <v>2802275.2782397773</v>
      </c>
      <c r="AI56" s="103" cm="1">
        <f t="array" ref="AI56">IF(AB56,INDEX('AEA2012 update'!$K$6:$R$104,MATCH($T56&amp;$R56,'AEA2012 update'!$A$6:$A$104&amp;'AEA2012 update'!$B$6:$B$104,0),MATCH(AI$16,'AEA2012 update'!$S$4:$Z$4,0)),INDEX('AEA2012 update'!$K$6:$R$104,MATCH($T56&amp;$U56,'AEA2012 update'!$A$6:$A$104&amp;'AEA2012 update'!$B$6:$B$104,0),MATCH(AI$16,'AEA2012 update'!$S$4:$Z$4,0)))</f>
        <v>2825447.6919855122</v>
      </c>
      <c r="AJ56" s="103" cm="1">
        <f t="array" ref="AJ56">IF(AC56,INDEX('AEA2012 update'!$K$6:$R$104,MATCH($T56&amp;$R56,'AEA2012 update'!$A$6:$A$104&amp;'AEA2012 update'!$B$6:$B$104,0),MATCH(AJ$16,'AEA2012 update'!$S$4:$Z$4,0)),INDEX('AEA2012 update'!$K$6:$R$104,MATCH($T56&amp;$U56,'AEA2012 update'!$A$6:$A$104&amp;'AEA2012 update'!$B$6:$B$104,0),MATCH(AJ$16,'AEA2012 update'!$S$4:$Z$4,0)))</f>
        <v>2885061.5408688537</v>
      </c>
      <c r="AK56" s="103" t="str">
        <f t="shared" si="13"/>
        <v>BUSGAS</v>
      </c>
      <c r="AL56" s="67">
        <f>INDEX('Vehicle data '!$AD$20:$AD$110,MATCH($AK56,'Vehicle data '!$AC$20:$AC$110,0))/INDEX('Vehicle data '!$AD$20:$AD$110,MATCH($AK$52,'Vehicle data '!$AC$20:$AC$110,0))*AL$52</f>
        <v>17.871479072128476</v>
      </c>
      <c r="AM56" s="67">
        <f t="array" ref="AM56">IF($AE$1,AL56*(1+INDEX(AM$1:AM$2,MATCH($O56,$AI$1:$AI$2,0)))^(AM$16-AL$16),INDEX('AEA2012 update'!$AC$6:$AG$104,MATCH($T56&amp;$U56,'AEA2012 update'!$A$6:$A$104&amp;'AEA2012 update'!$B$6:$B$104,0),MATCH(AM$16,'AEA2012 update'!$AC$4:$AG$4,0)))</f>
        <v>17.604745013042074</v>
      </c>
      <c r="AN56" s="67">
        <f t="array" ref="AN56">IF($AE$1,AM56*(1+INDEX(AN$1:AN$2,MATCH($O56,$AI$1:$AI$2,0)))^(AN$16-AM$16),INDEX('AEA2012 update'!$AC$6:$AG$104,MATCH($T56&amp;$U56,'AEA2012 update'!$A$6:$A$104&amp;'AEA2012 update'!$B$6:$B$104,0),MATCH(AN$16,'AEA2012 update'!$AC$4:$AG$4,0)))</f>
        <v>16.328071500567166</v>
      </c>
      <c r="AO56" s="67">
        <f t="array" ref="AO56">IF($AE$1,AN56*(1+INDEX(AO$1:AO$2,MATCH($O56,$AI$1:$AI$2,0)))^(AO$16-AN$16),INDEX('AEA2012 update'!$AC$6:$AG$104,MATCH($T56&amp;$U56,'AEA2012 update'!$A$6:$A$104&amp;'AEA2012 update'!$B$6:$B$104,0),MATCH(AO$16,'AEA2012 update'!$AC$4:$AG$4,0)))</f>
        <v>14.766815184575055</v>
      </c>
      <c r="AP56" s="67">
        <f t="array" ref="AP56">IF($AE$1,AO56*(1+INDEX(AP$1:AP$2,MATCH($O56,$AI$1:$AI$2,0)))^(AP$16-AO$16),INDEX('AEA2012 update'!$AC$6:$AG$104,MATCH($T56&amp;$U56,'AEA2012 update'!$A$6:$A$104&amp;'AEA2012 update'!$B$6:$B$104,0),MATCH(AP$16,'AEA2012 update'!$AC$4:$AG$4,0)))</f>
        <v>13.354842957897509</v>
      </c>
      <c r="AQ56" s="67"/>
      <c r="AR56" s="274">
        <f t="shared" si="10"/>
        <v>-4.9750416666666927E-3</v>
      </c>
      <c r="AS56" s="274">
        <f t="shared" si="11"/>
        <v>-8.0468874575123951E-3</v>
      </c>
      <c r="AY56" s="61" t="str">
        <f t="shared" si="12"/>
        <v>BUS-GAS</v>
      </c>
      <c r="AZ56" s="80" t="e" cm="1">
        <f t="array" aca="1" ref="AZ56" ca="1">AL56/INDIRECT("cv."&amp;LEFT($U56,6)&amp;".hhv.MJL") * 100</f>
        <v>#REF!</v>
      </c>
      <c r="BA56" s="80" t="e" cm="1">
        <f t="array" aca="1" ref="BA56" ca="1">AM56/INDIRECT("cv."&amp;LEFT($U56,6)&amp;".hhv.MJL") * 100</f>
        <v>#REF!</v>
      </c>
      <c r="BB56" s="80" t="e" cm="1">
        <f t="array" aca="1" ref="BB56" ca="1">AN56/INDIRECT("cv."&amp;LEFT($U56,6)&amp;".hhv.MJL") * 100</f>
        <v>#REF!</v>
      </c>
      <c r="BC56" s="80" t="e" cm="1">
        <f t="array" aca="1" ref="BC56" ca="1">AO56/INDIRECT("cv."&amp;LEFT($U56,6)&amp;".hhv.MJL") * 100</f>
        <v>#REF!</v>
      </c>
      <c r="BD56" s="80" t="e" cm="1">
        <f t="array" aca="1" ref="BD56" ca="1">AP56/INDIRECT("cv."&amp;LEFT($U56,6)&amp;".hhv.MJL") * 100</f>
        <v>#REF!</v>
      </c>
    </row>
    <row r="57" spans="1:61" x14ac:dyDescent="0.25">
      <c r="D57" s="61">
        <v>2012</v>
      </c>
      <c r="Q57" s="61" t="str">
        <f t="shared" si="7"/>
        <v/>
      </c>
      <c r="S57" s="65"/>
      <c r="T57" s="273"/>
      <c r="U57" s="277"/>
      <c r="V57" s="965"/>
      <c r="W57" s="958">
        <f t="shared" si="16"/>
        <v>0</v>
      </c>
      <c r="X57" s="959">
        <f t="shared" si="16"/>
        <v>0</v>
      </c>
      <c r="Y57" s="959">
        <f t="shared" si="16"/>
        <v>0</v>
      </c>
      <c r="Z57" s="959">
        <f t="shared" si="16"/>
        <v>0</v>
      </c>
      <c r="AA57" s="959">
        <f t="shared" si="16"/>
        <v>0</v>
      </c>
      <c r="AB57" s="959">
        <f t="shared" si="16"/>
        <v>0</v>
      </c>
      <c r="AC57" s="960">
        <f t="shared" si="16"/>
        <v>0</v>
      </c>
      <c r="AD57" s="103" t="e" cm="1">
        <f t="array" ref="AD57">IF(W57,INDEX('AEA2012 update'!$K$6:$R$104,MATCH($T57&amp;$R57,'AEA2012 update'!$A$6:$A$104&amp;'AEA2012 update'!$B$6:$B$104,0),MATCH(AD$16,'AEA2012 update'!$S$4:$Z$4,0)),INDEX('AEA2012 update'!$K$6:$R$104,MATCH($T57&amp;$U57,'AEA2012 update'!$A$6:$A$104&amp;'AEA2012 update'!$B$6:$B$104,0),MATCH(AD$16,'AEA2012 update'!$S$4:$Z$4,0)))</f>
        <v>#N/A</v>
      </c>
      <c r="AE57" s="103" t="e" cm="1">
        <f t="array" ref="AE57">IF(X57,INDEX('AEA2012 update'!$K$6:$R$104,MATCH($T57&amp;$R57,'AEA2012 update'!$A$6:$A$104&amp;'AEA2012 update'!$B$6:$B$104,0),MATCH(AE$16,'AEA2012 update'!$S$4:$Z$4,0)),INDEX('AEA2012 update'!$K$6:$R$104,MATCH($T57&amp;$U57,'AEA2012 update'!$A$6:$A$104&amp;'AEA2012 update'!$B$6:$B$104,0),MATCH(AE$16,'AEA2012 update'!$S$4:$Z$4,0)))</f>
        <v>#N/A</v>
      </c>
      <c r="AF57" s="103" t="e" cm="1">
        <f t="array" ref="AF57">IF(Y57,INDEX('AEA2012 update'!$K$6:$R$104,MATCH($T57&amp;$R57,'AEA2012 update'!$A$6:$A$104&amp;'AEA2012 update'!$B$6:$B$104,0),MATCH(AF$16,'AEA2012 update'!$S$4:$Z$4,0)),INDEX('AEA2012 update'!$K$6:$R$104,MATCH($T57&amp;$U57,'AEA2012 update'!$A$6:$A$104&amp;'AEA2012 update'!$B$6:$B$104,0),MATCH(AF$16,'AEA2012 update'!$S$4:$Z$4,0)))</f>
        <v>#N/A</v>
      </c>
      <c r="AG57" s="103" t="e" cm="1">
        <f t="array" ref="AG57">IF(Z57,INDEX('AEA2012 update'!$K$6:$R$104,MATCH($T57&amp;$R57,'AEA2012 update'!$A$6:$A$104&amp;'AEA2012 update'!$B$6:$B$104,0),MATCH(AG$16,'AEA2012 update'!$S$4:$Z$4,0)),INDEX('AEA2012 update'!$K$6:$R$104,MATCH($T57&amp;$U57,'AEA2012 update'!$A$6:$A$104&amp;'AEA2012 update'!$B$6:$B$104,0),MATCH(AG$16,'AEA2012 update'!$S$4:$Z$4,0)))</f>
        <v>#N/A</v>
      </c>
      <c r="AH57" s="103" t="e" cm="1">
        <f t="array" ref="AH57">IF(AA57,INDEX('AEA2012 update'!$K$6:$R$104,MATCH($T57&amp;$R57,'AEA2012 update'!$A$6:$A$104&amp;'AEA2012 update'!$B$6:$B$104,0),MATCH(AH$16,'AEA2012 update'!$S$4:$Z$4,0)),INDEX('AEA2012 update'!$K$6:$R$104,MATCH($T57&amp;$U57,'AEA2012 update'!$A$6:$A$104&amp;'AEA2012 update'!$B$6:$B$104,0),MATCH(AH$16,'AEA2012 update'!$S$4:$Z$4,0)))</f>
        <v>#N/A</v>
      </c>
      <c r="AI57" s="103" t="e" cm="1">
        <f t="array" ref="AI57">IF(AB57,INDEX('AEA2012 update'!$K$6:$R$104,MATCH($T57&amp;$R57,'AEA2012 update'!$A$6:$A$104&amp;'AEA2012 update'!$B$6:$B$104,0),MATCH(AI$16,'AEA2012 update'!$S$4:$Z$4,0)),INDEX('AEA2012 update'!$K$6:$R$104,MATCH($T57&amp;$U57,'AEA2012 update'!$A$6:$A$104&amp;'AEA2012 update'!$B$6:$B$104,0),MATCH(AI$16,'AEA2012 update'!$S$4:$Z$4,0)))</f>
        <v>#N/A</v>
      </c>
      <c r="AJ57" s="103" t="e" cm="1">
        <f t="array" ref="AJ57">IF(AC57,INDEX('AEA2012 update'!$K$6:$R$104,MATCH($T57&amp;$R57,'AEA2012 update'!$A$6:$A$104&amp;'AEA2012 update'!$B$6:$B$104,0),MATCH(AJ$16,'AEA2012 update'!$S$4:$Z$4,0)),INDEX('AEA2012 update'!$K$6:$R$104,MATCH($T57&amp;$U57,'AEA2012 update'!$A$6:$A$104&amp;'AEA2012 update'!$B$6:$B$104,0),MATCH(AJ$16,'AEA2012 update'!$S$4:$Z$4,0)))</f>
        <v>#N/A</v>
      </c>
      <c r="AK57" s="103" t="str">
        <f t="shared" si="13"/>
        <v/>
      </c>
      <c r="AL57" s="67" t="e">
        <f>1/INDEX(Analytica!$AA$17:$AE$48,MATCH($AK57,Analytica!$A$17:$A$48,0),MATCH(AL$16,Analytica!$AA$16:$AE$16,0))</f>
        <v>#N/A</v>
      </c>
      <c r="AM57" s="67" t="e">
        <f t="array" ref="AM57">IF($AE$1,AL57*(1+INDEX(AM$1:AM$2,MATCH($O57,$AI$1:$AI$2,0)))^(AM$16-AL$16),INDEX('AEA2012 update'!$AC$6:$AG$104,MATCH($T57&amp;$U57,'AEA2012 update'!$A$6:$A$104&amp;'AEA2012 update'!$B$6:$B$104,0),MATCH(AM$16,'AEA2012 update'!$AC$4:$AG$4,0)))</f>
        <v>#N/A</v>
      </c>
      <c r="AN57" s="67" t="e">
        <f t="array" ref="AN57">IF($AE$1,AM57*(1+INDEX(AN$1:AN$2,MATCH($O57,$AI$1:$AI$2,0)))^(AN$16-AM$16),INDEX('AEA2012 update'!$AC$6:$AG$104,MATCH($T57&amp;$U57,'AEA2012 update'!$A$6:$A$104&amp;'AEA2012 update'!$B$6:$B$104,0),MATCH(AN$16,'AEA2012 update'!$AC$4:$AG$4,0)))</f>
        <v>#N/A</v>
      </c>
      <c r="AO57" s="67" t="e">
        <f t="array" ref="AO57">IF($AE$1,AN57*(1+INDEX(AO$1:AO$2,MATCH($O57,$AI$1:$AI$2,0)))^(AO$16-AN$16),INDEX('AEA2012 update'!$AC$6:$AG$104,MATCH($T57&amp;$U57,'AEA2012 update'!$A$6:$A$104&amp;'AEA2012 update'!$B$6:$B$104,0),MATCH(AO$16,'AEA2012 update'!$AC$4:$AG$4,0)))</f>
        <v>#N/A</v>
      </c>
      <c r="AP57" s="67" t="e">
        <f t="array" ref="AP57">IF($AE$1,AO57*(1+INDEX(AP$1:AP$2,MATCH($O57,$AI$1:$AI$2,0)))^(AP$16-AO$16),INDEX('AEA2012 update'!$AC$6:$AG$104,MATCH($T57&amp;$U57,'AEA2012 update'!$A$6:$A$104&amp;'AEA2012 update'!$B$6:$B$104,0),MATCH(AP$16,'AEA2012 update'!$AC$4:$AG$4,0)))</f>
        <v>#N/A</v>
      </c>
      <c r="AQ57" s="67"/>
      <c r="AR57" s="274" t="e">
        <f t="shared" si="10"/>
        <v>#N/A</v>
      </c>
      <c r="AS57" s="274" t="e">
        <f t="shared" si="11"/>
        <v>#N/A</v>
      </c>
      <c r="AY57" s="61" t="str">
        <f t="shared" si="12"/>
        <v>-</v>
      </c>
      <c r="AZ57" s="80" t="e" cm="1">
        <f t="array" aca="1" ref="AZ57" ca="1">AL57/INDIRECT("cv."&amp;LEFT($U57,6)&amp;".hhv.MJL") * 100</f>
        <v>#N/A</v>
      </c>
      <c r="BA57" s="80" t="e" cm="1">
        <f t="array" aca="1" ref="BA57" ca="1">AM57/INDIRECT("cv."&amp;LEFT($U57,6)&amp;".hhv.MJL") * 100</f>
        <v>#N/A</v>
      </c>
      <c r="BB57" s="80" t="e" cm="1">
        <f t="array" aca="1" ref="BB57" ca="1">AN57/INDIRECT("cv."&amp;LEFT($U57,6)&amp;".hhv.MJL") * 100</f>
        <v>#N/A</v>
      </c>
      <c r="BC57" s="80" t="e" cm="1">
        <f t="array" aca="1" ref="BC57" ca="1">AO57/INDIRECT("cv."&amp;LEFT($U57,6)&amp;".hhv.MJL") * 100</f>
        <v>#N/A</v>
      </c>
      <c r="BD57" s="80" t="e" cm="1">
        <f t="array" aca="1" ref="BD57" ca="1">AP57/INDIRECT("cv."&amp;LEFT($U57,6)&amp;".hhv.MJL") * 100</f>
        <v>#N/A</v>
      </c>
    </row>
    <row r="58" spans="1:61" x14ac:dyDescent="0.25">
      <c r="B58" s="61" t="s">
        <v>717</v>
      </c>
      <c r="D58" s="7">
        <f>SUM(D59:D60)</f>
        <v>15629</v>
      </c>
      <c r="K58" s="61" t="s">
        <v>718</v>
      </c>
      <c r="L58" s="271">
        <f>S60/S58</f>
        <v>3.2995608830795962</v>
      </c>
      <c r="N58" s="61" t="s">
        <v>511</v>
      </c>
      <c r="O58" s="61" t="s">
        <v>613</v>
      </c>
      <c r="P58" s="61" t="s">
        <v>59</v>
      </c>
      <c r="Q58" s="61" t="str">
        <f t="shared" si="7"/>
        <v>BRT</v>
      </c>
      <c r="R58" s="61" t="s">
        <v>687</v>
      </c>
      <c r="S58" s="103">
        <v>3471536.3226923002</v>
      </c>
      <c r="T58" s="273" t="s">
        <v>60</v>
      </c>
      <c r="U58" s="957" t="s">
        <v>687</v>
      </c>
      <c r="V58" s="965"/>
      <c r="W58" s="958">
        <f t="shared" si="16"/>
        <v>0</v>
      </c>
      <c r="X58" s="959">
        <f t="shared" si="16"/>
        <v>0</v>
      </c>
      <c r="Y58" s="959">
        <f t="shared" si="16"/>
        <v>0</v>
      </c>
      <c r="Z58" s="959">
        <f t="shared" si="16"/>
        <v>0</v>
      </c>
      <c r="AA58" s="959">
        <f t="shared" si="16"/>
        <v>0</v>
      </c>
      <c r="AB58" s="959">
        <f t="shared" si="16"/>
        <v>0</v>
      </c>
      <c r="AC58" s="960">
        <f t="shared" si="16"/>
        <v>0</v>
      </c>
      <c r="AD58" s="103" cm="1">
        <f t="array" ref="AD58">IF(W58,INDEX('AEA2012 update'!$K$6:$R$104,MATCH($T58&amp;$R58,'AEA2012 update'!$A$6:$A$104&amp;'AEA2012 update'!$B$6:$B$104,0),MATCH(AD$16,'AEA2012 update'!$S$4:$Z$4,0)),INDEX('AEA2012 update'!$K$6:$R$104,MATCH($T58&amp;$U58,'AEA2012 update'!$A$6:$A$104&amp;'AEA2012 update'!$B$6:$B$104,0),MATCH(AD$16,'AEA2012 update'!$S$4:$Z$4,0)))</f>
        <v>2374350.3925985522</v>
      </c>
      <c r="AE58" s="103" cm="1">
        <f t="array" ref="AE58">IF(X58,INDEX('AEA2012 update'!$K$6:$R$104,MATCH($T58&amp;$R58,'AEA2012 update'!$A$6:$A$104&amp;'AEA2012 update'!$B$6:$B$104,0),MATCH(AE$16,'AEA2012 update'!$S$4:$Z$4,0)),INDEX('AEA2012 update'!$K$6:$R$104,MATCH($T58&amp;$U58,'AEA2012 update'!$A$6:$A$104&amp;'AEA2012 update'!$B$6:$B$104,0),MATCH(AE$16,'AEA2012 update'!$S$4:$Z$4,0)))</f>
        <v>2567125.8296431107</v>
      </c>
      <c r="AF58" s="103" cm="1">
        <f t="array" ref="AF58">IF(Y58,INDEX('AEA2012 update'!$K$6:$R$104,MATCH($T58&amp;$R58,'AEA2012 update'!$A$6:$A$104&amp;'AEA2012 update'!$B$6:$B$104,0),MATCH(AF$16,'AEA2012 update'!$S$4:$Z$4,0)),INDEX('AEA2012 update'!$K$6:$R$104,MATCH($T58&amp;$U58,'AEA2012 update'!$A$6:$A$104&amp;'AEA2012 update'!$B$6:$B$104,0),MATCH(AF$16,'AEA2012 update'!$S$4:$Z$4,0)))</f>
        <v>2615057.9469287945</v>
      </c>
      <c r="AG58" s="103" cm="1">
        <f t="array" ref="AG58">IF(Z58,INDEX('AEA2012 update'!$K$6:$R$104,MATCH($T58&amp;$R58,'AEA2012 update'!$A$6:$A$104&amp;'AEA2012 update'!$B$6:$B$104,0),MATCH(AG$16,'AEA2012 update'!$S$4:$Z$4,0)),INDEX('AEA2012 update'!$K$6:$R$104,MATCH($T58&amp;$U58,'AEA2012 update'!$A$6:$A$104&amp;'AEA2012 update'!$B$6:$B$104,0),MATCH(AG$16,'AEA2012 update'!$S$4:$Z$4,0)))</f>
        <v>2662990.0642144778</v>
      </c>
      <c r="AH58" s="103" cm="1">
        <f t="array" ref="AH58">IF(AA58,INDEX('AEA2012 update'!$K$6:$R$104,MATCH($T58&amp;$R58,'AEA2012 update'!$A$6:$A$104&amp;'AEA2012 update'!$B$6:$B$104,0),MATCH(AH$16,'AEA2012 update'!$S$4:$Z$4,0)),INDEX('AEA2012 update'!$K$6:$R$104,MATCH($T58&amp;$U58,'AEA2012 update'!$A$6:$A$104&amp;'AEA2012 update'!$B$6:$B$104,0),MATCH(AH$16,'AEA2012 update'!$S$4:$Z$4,0)))</f>
        <v>2693807.5488051251</v>
      </c>
      <c r="AI58" s="103" cm="1">
        <f t="array" ref="AI58">IF(AB58,INDEX('AEA2012 update'!$K$6:$R$104,MATCH($T58&amp;$R58,'AEA2012 update'!$A$6:$A$104&amp;'AEA2012 update'!$B$6:$B$104,0),MATCH(AI$16,'AEA2012 update'!$S$4:$Z$4,0)),INDEX('AEA2012 update'!$K$6:$R$104,MATCH($T58&amp;$U58,'AEA2012 update'!$A$6:$A$104&amp;'AEA2012 update'!$B$6:$B$104,0),MATCH(AI$16,'AEA2012 update'!$S$4:$Z$4,0)))</f>
        <v>2724625.0333957719</v>
      </c>
      <c r="AJ58" s="103" cm="1">
        <f t="array" ref="AJ58">IF(AC58,INDEX('AEA2012 update'!$K$6:$R$104,MATCH($T58&amp;$R58,'AEA2012 update'!$A$6:$A$104&amp;'AEA2012 update'!$B$6:$B$104,0),MATCH(AJ$16,'AEA2012 update'!$S$4:$Z$4,0)),INDEX('AEA2012 update'!$K$6:$R$104,MATCH($T58&amp;$U58,'AEA2012 update'!$A$6:$A$104&amp;'AEA2012 update'!$B$6:$B$104,0),MATCH(AJ$16,'AEA2012 update'!$S$4:$Z$4,0)))</f>
        <v>2794986.1891357079</v>
      </c>
      <c r="AK58" s="103" t="str">
        <f t="shared" si="13"/>
        <v>BRTODS</v>
      </c>
      <c r="AL58" s="67">
        <f>INDEX('Vehicle data '!$AD$20:$AD$110,MATCH($AK58,'Vehicle data '!$AC$20:$AC$110,0))/INDEX('Vehicle data '!$AD$20:$AD$110,MATCH($AK$52,'Vehicle data '!$AC$20:$AC$110,0))*AL$52</f>
        <v>15.540416584459544</v>
      </c>
      <c r="AM58" s="67">
        <f t="array" ref="AM58">IF($AE$1,AL58*(1+INDEX(AM$1:AM$2,MATCH($O58,$AI$1:$AI$2,0)))^(AM$16-AL$16),INDEX('AEA2012 update'!$AC$6:$AG$104,MATCH($T58&amp;$U58,'AEA2012 update'!$A$6:$A$104&amp;'AEA2012 update'!$B$6:$B$104,0),MATCH(AM$16,'AEA2012 update'!$AC$4:$AG$4,0)))</f>
        <v>15.308473924384414</v>
      </c>
      <c r="AN58" s="67">
        <f t="array" ref="AN58">IF($AE$1,AM58*(1+INDEX(AN$1:AN$2,MATCH($O58,$AI$1:$AI$2,0)))^(AN$16-AM$16),INDEX('AEA2012 update'!$AC$6:$AG$104,MATCH($T58&amp;$U58,'AEA2012 update'!$A$6:$A$104&amp;'AEA2012 update'!$B$6:$B$104,0),MATCH(AN$16,'AEA2012 update'!$AC$4:$AG$4,0)))</f>
        <v>14.198323043971449</v>
      </c>
      <c r="AO58" s="67">
        <f t="array" ref="AO58">IF($AE$1,AN58*(1+INDEX(AO$1:AO$2,MATCH($O58,$AI$1:$AI$2,0)))^(AO$16-AN$16),INDEX('AEA2012 update'!$AC$6:$AG$104,MATCH($T58&amp;$U58,'AEA2012 update'!$A$6:$A$104&amp;'AEA2012 update'!$B$6:$B$104,0),MATCH(AO$16,'AEA2012 update'!$AC$4:$AG$4,0)))</f>
        <v>12.840708856152222</v>
      </c>
      <c r="AP58" s="67">
        <f t="array" ref="AP58">IF($AE$1,AO58*(1+INDEX(AP$1:AP$2,MATCH($O58,$AI$1:$AI$2,0)))^(AP$16-AO$16),INDEX('AEA2012 update'!$AC$6:$AG$104,MATCH($T58&amp;$U58,'AEA2012 update'!$A$6:$A$104&amp;'AEA2012 update'!$B$6:$B$104,0),MATCH(AP$16,'AEA2012 update'!$AC$4:$AG$4,0)))</f>
        <v>11.612906919910877</v>
      </c>
      <c r="AQ58" s="67"/>
      <c r="AR58" s="274">
        <f t="shared" si="10"/>
        <v>-4.9750416666666433E-3</v>
      </c>
      <c r="AS58" s="274">
        <f t="shared" si="11"/>
        <v>-8.0468874575124003E-3</v>
      </c>
      <c r="AY58" s="61" t="str">
        <f t="shared" si="12"/>
        <v>BRT-ODS</v>
      </c>
      <c r="AZ58" s="80" t="e" cm="1">
        <f t="array" aca="1" ref="AZ58" ca="1">AL58/INDIRECT("cv."&amp;LEFT($U58,6)&amp;".hhv.MJL") * 100</f>
        <v>#REF!</v>
      </c>
      <c r="BA58" s="80" t="e" cm="1">
        <f t="array" aca="1" ref="BA58" ca="1">AM58/INDIRECT("cv."&amp;LEFT($U58,6)&amp;".hhv.MJL") * 100</f>
        <v>#REF!</v>
      </c>
      <c r="BB58" s="80" t="e" cm="1">
        <f t="array" aca="1" ref="BB58" ca="1">AN58/INDIRECT("cv."&amp;LEFT($U58,6)&amp;".hhv.MJL") * 100</f>
        <v>#REF!</v>
      </c>
      <c r="BC58" s="80" t="e" cm="1">
        <f t="array" aca="1" ref="BC58" ca="1">AO58/INDIRECT("cv."&amp;LEFT($U58,6)&amp;".hhv.MJL") * 100</f>
        <v>#REF!</v>
      </c>
      <c r="BD58" s="80" t="e" cm="1">
        <f t="array" aca="1" ref="BD58" ca="1">AP58/INDIRECT("cv."&amp;LEFT($U58,6)&amp;".hhv.MJL") * 100</f>
        <v>#REF!</v>
      </c>
    </row>
    <row r="59" spans="1:61" x14ac:dyDescent="0.25">
      <c r="A59" s="278" t="s">
        <v>617</v>
      </c>
      <c r="B59" s="278" t="s">
        <v>719</v>
      </c>
      <c r="D59" s="7">
        <v>4742</v>
      </c>
      <c r="N59" s="61" t="s">
        <v>506</v>
      </c>
      <c r="O59" s="61" t="s">
        <v>613</v>
      </c>
      <c r="P59" s="61" t="s">
        <v>59</v>
      </c>
      <c r="Q59" s="61" t="str">
        <f t="shared" si="7"/>
        <v>BRT</v>
      </c>
      <c r="R59" s="61" t="s">
        <v>687</v>
      </c>
      <c r="S59"/>
      <c r="T59" s="273" t="s">
        <v>60</v>
      </c>
      <c r="U59" s="957" t="s">
        <v>687</v>
      </c>
      <c r="V59" s="965"/>
      <c r="W59" s="958">
        <f t="shared" si="16"/>
        <v>0</v>
      </c>
      <c r="X59" s="959">
        <f t="shared" si="16"/>
        <v>0</v>
      </c>
      <c r="Y59" s="959">
        <f t="shared" si="16"/>
        <v>0</v>
      </c>
      <c r="Z59" s="959">
        <f t="shared" si="16"/>
        <v>0</v>
      </c>
      <c r="AA59" s="959">
        <f t="shared" si="16"/>
        <v>0</v>
      </c>
      <c r="AB59" s="959">
        <f t="shared" si="16"/>
        <v>0</v>
      </c>
      <c r="AC59" s="960">
        <f t="shared" si="16"/>
        <v>0</v>
      </c>
      <c r="AD59" s="103" cm="1">
        <f t="array" ref="AD59">IF(W59,INDEX('AEA2012 update'!$K$6:$R$104,MATCH($T59&amp;$R59,'AEA2012 update'!$A$6:$A$104&amp;'AEA2012 update'!$B$6:$B$104,0),MATCH(AD$16,'AEA2012 update'!$S$4:$Z$4,0)),INDEX('AEA2012 update'!$K$6:$R$104,MATCH($T59&amp;$U59,'AEA2012 update'!$A$6:$A$104&amp;'AEA2012 update'!$B$6:$B$104,0),MATCH(AD$16,'AEA2012 update'!$S$4:$Z$4,0)))</f>
        <v>2374350.3925985522</v>
      </c>
      <c r="AE59" s="103" cm="1">
        <f t="array" ref="AE59">IF(X59,INDEX('AEA2012 update'!$K$6:$R$104,MATCH($T59&amp;$R59,'AEA2012 update'!$A$6:$A$104&amp;'AEA2012 update'!$B$6:$B$104,0),MATCH(AE$16,'AEA2012 update'!$S$4:$Z$4,0)),INDEX('AEA2012 update'!$K$6:$R$104,MATCH($T59&amp;$U59,'AEA2012 update'!$A$6:$A$104&amp;'AEA2012 update'!$B$6:$B$104,0),MATCH(AE$16,'AEA2012 update'!$S$4:$Z$4,0)))</f>
        <v>2567125.8296431107</v>
      </c>
      <c r="AF59" s="103" cm="1">
        <f t="array" ref="AF59">IF(Y59,INDEX('AEA2012 update'!$K$6:$R$104,MATCH($T59&amp;$R59,'AEA2012 update'!$A$6:$A$104&amp;'AEA2012 update'!$B$6:$B$104,0),MATCH(AF$16,'AEA2012 update'!$S$4:$Z$4,0)),INDEX('AEA2012 update'!$K$6:$R$104,MATCH($T59&amp;$U59,'AEA2012 update'!$A$6:$A$104&amp;'AEA2012 update'!$B$6:$B$104,0),MATCH(AF$16,'AEA2012 update'!$S$4:$Z$4,0)))</f>
        <v>2615057.9469287945</v>
      </c>
      <c r="AG59" s="103" cm="1">
        <f t="array" ref="AG59">IF(Z59,INDEX('AEA2012 update'!$K$6:$R$104,MATCH($T59&amp;$R59,'AEA2012 update'!$A$6:$A$104&amp;'AEA2012 update'!$B$6:$B$104,0),MATCH(AG$16,'AEA2012 update'!$S$4:$Z$4,0)),INDEX('AEA2012 update'!$K$6:$R$104,MATCH($T59&amp;$U59,'AEA2012 update'!$A$6:$A$104&amp;'AEA2012 update'!$B$6:$B$104,0),MATCH(AG$16,'AEA2012 update'!$S$4:$Z$4,0)))</f>
        <v>2662990.0642144778</v>
      </c>
      <c r="AH59" s="103" cm="1">
        <f t="array" ref="AH59">IF(AA59,INDEX('AEA2012 update'!$K$6:$R$104,MATCH($T59&amp;$R59,'AEA2012 update'!$A$6:$A$104&amp;'AEA2012 update'!$B$6:$B$104,0),MATCH(AH$16,'AEA2012 update'!$S$4:$Z$4,0)),INDEX('AEA2012 update'!$K$6:$R$104,MATCH($T59&amp;$U59,'AEA2012 update'!$A$6:$A$104&amp;'AEA2012 update'!$B$6:$B$104,0),MATCH(AH$16,'AEA2012 update'!$S$4:$Z$4,0)))</f>
        <v>2693807.5488051251</v>
      </c>
      <c r="AI59" s="103" cm="1">
        <f t="array" ref="AI59">IF(AB59,INDEX('AEA2012 update'!$K$6:$R$104,MATCH($T59&amp;$R59,'AEA2012 update'!$A$6:$A$104&amp;'AEA2012 update'!$B$6:$B$104,0),MATCH(AI$16,'AEA2012 update'!$S$4:$Z$4,0)),INDEX('AEA2012 update'!$K$6:$R$104,MATCH($T59&amp;$U59,'AEA2012 update'!$A$6:$A$104&amp;'AEA2012 update'!$B$6:$B$104,0),MATCH(AI$16,'AEA2012 update'!$S$4:$Z$4,0)))</f>
        <v>2724625.0333957719</v>
      </c>
      <c r="AJ59" s="103" cm="1">
        <f t="array" ref="AJ59">IF(AC59,INDEX('AEA2012 update'!$K$6:$R$104,MATCH($T59&amp;$R59,'AEA2012 update'!$A$6:$A$104&amp;'AEA2012 update'!$B$6:$B$104,0),MATCH(AJ$16,'AEA2012 update'!$S$4:$Z$4,0)),INDEX('AEA2012 update'!$K$6:$R$104,MATCH($T59&amp;$U59,'AEA2012 update'!$A$6:$A$104&amp;'AEA2012 update'!$B$6:$B$104,0),MATCH(AJ$16,'AEA2012 update'!$S$4:$Z$4,0)))</f>
        <v>2794986.1891357079</v>
      </c>
      <c r="AK59" s="103" t="str">
        <f t="shared" si="13"/>
        <v>BRTBGS</v>
      </c>
      <c r="AL59" s="67">
        <f>INDEX('Vehicle data '!$AD$20:$AD$110,MATCH($AK59,'Vehicle data '!$AC$20:$AC$110,0))/INDEX('Vehicle data '!$AD$20:$AD$110,MATCH($AK$52,'Vehicle data '!$AC$20:$AC$110,0))*AL$52</f>
        <v>15.540416584459544</v>
      </c>
      <c r="AM59" s="67">
        <f t="array" ref="AM59">IF($AE$1,AL59*(1+INDEX(AM$1:AM$2,MATCH($O59,$AI$1:$AI$2,0)))^(AM$16-AL$16),INDEX('AEA2012 update'!$AC$6:$AG$104,MATCH($T59&amp;$U59,'AEA2012 update'!$A$6:$A$104&amp;'AEA2012 update'!$B$6:$B$104,0),MATCH(AM$16,'AEA2012 update'!$AC$4:$AG$4,0)))</f>
        <v>15.308473924384414</v>
      </c>
      <c r="AN59" s="67">
        <f t="array" ref="AN59">IF($AE$1,AM59*(1+INDEX(AN$1:AN$2,MATCH($O59,$AI$1:$AI$2,0)))^(AN$16-AM$16),INDEX('AEA2012 update'!$AC$6:$AG$104,MATCH($T59&amp;$U59,'AEA2012 update'!$A$6:$A$104&amp;'AEA2012 update'!$B$6:$B$104,0),MATCH(AN$16,'AEA2012 update'!$AC$4:$AG$4,0)))</f>
        <v>14.198323043971449</v>
      </c>
      <c r="AO59" s="67">
        <f t="array" ref="AO59">IF($AE$1,AN59*(1+INDEX(AO$1:AO$2,MATCH($O59,$AI$1:$AI$2,0)))^(AO$16-AN$16),INDEX('AEA2012 update'!$AC$6:$AG$104,MATCH($T59&amp;$U59,'AEA2012 update'!$A$6:$A$104&amp;'AEA2012 update'!$B$6:$B$104,0),MATCH(AO$16,'AEA2012 update'!$AC$4:$AG$4,0)))</f>
        <v>12.840708856152222</v>
      </c>
      <c r="AP59" s="67">
        <f t="array" ref="AP59">IF($AE$1,AO59*(1+INDEX(AP$1:AP$2,MATCH($O59,$AI$1:$AI$2,0)))^(AP$16-AO$16),INDEX('AEA2012 update'!$AC$6:$AG$104,MATCH($T59&amp;$U59,'AEA2012 update'!$A$6:$A$104&amp;'AEA2012 update'!$B$6:$B$104,0),MATCH(AP$16,'AEA2012 update'!$AC$4:$AG$4,0)))</f>
        <v>11.612906919910877</v>
      </c>
      <c r="AQ59" s="67"/>
      <c r="AR59" s="274">
        <f t="shared" si="10"/>
        <v>-4.9750416666666433E-3</v>
      </c>
      <c r="AS59" s="274">
        <f t="shared" si="11"/>
        <v>-8.0468874575124003E-3</v>
      </c>
      <c r="AY59" s="61" t="str">
        <f t="shared" si="12"/>
        <v>BRT-BGS</v>
      </c>
      <c r="AZ59" s="80" t="e" cm="1">
        <f t="array" aca="1" ref="AZ59" ca="1">AL59/INDIRECT("cv."&amp;LEFT($U59,6)&amp;".hhv.MJL") * 100</f>
        <v>#REF!</v>
      </c>
      <c r="BA59" s="80" t="e" cm="1">
        <f t="array" aca="1" ref="BA59" ca="1">AM59/INDIRECT("cv."&amp;LEFT($U59,6)&amp;".hhv.MJL") * 100</f>
        <v>#REF!</v>
      </c>
      <c r="BB59" s="80" t="e" cm="1">
        <f t="array" aca="1" ref="BB59" ca="1">AN59/INDIRECT("cv."&amp;LEFT($U59,6)&amp;".hhv.MJL") * 100</f>
        <v>#REF!</v>
      </c>
      <c r="BC59" s="80" t="e" cm="1">
        <f t="array" aca="1" ref="BC59" ca="1">AO59/INDIRECT("cv."&amp;LEFT($U59,6)&amp;".hhv.MJL") * 100</f>
        <v>#REF!</v>
      </c>
      <c r="BD59" s="80" t="e" cm="1">
        <f t="array" aca="1" ref="BD59" ca="1">AP59/INDIRECT("cv."&amp;LEFT($U59,6)&amp;".hhv.MJL") * 100</f>
        <v>#REF!</v>
      </c>
    </row>
    <row r="60" spans="1:61" x14ac:dyDescent="0.25">
      <c r="A60" s="278" t="s">
        <v>616</v>
      </c>
      <c r="B60" s="278" t="s">
        <v>720</v>
      </c>
      <c r="D60" s="7">
        <v>10887</v>
      </c>
      <c r="K60" s="264" t="s">
        <v>721</v>
      </c>
      <c r="N60" s="61" t="s">
        <v>501</v>
      </c>
      <c r="O60" s="61" t="s">
        <v>613</v>
      </c>
      <c r="P60" s="61" t="s">
        <v>59</v>
      </c>
      <c r="Q60" s="61" t="str">
        <f t="shared" si="7"/>
        <v>BRT</v>
      </c>
      <c r="R60" s="61" t="s">
        <v>687</v>
      </c>
      <c r="S60" s="103">
        <v>11454545.4545455</v>
      </c>
      <c r="T60" s="273" t="s">
        <v>60</v>
      </c>
      <c r="U60" s="957" t="s">
        <v>692</v>
      </c>
      <c r="V60" s="965"/>
      <c r="W60" s="958">
        <f t="shared" si="16"/>
        <v>0</v>
      </c>
      <c r="X60" s="959">
        <f t="shared" si="16"/>
        <v>0</v>
      </c>
      <c r="Y60" s="959">
        <f t="shared" si="16"/>
        <v>0</v>
      </c>
      <c r="Z60" s="959">
        <f t="shared" si="16"/>
        <v>0</v>
      </c>
      <c r="AA60" s="959">
        <f t="shared" si="16"/>
        <v>0</v>
      </c>
      <c r="AB60" s="959">
        <f t="shared" si="16"/>
        <v>0</v>
      </c>
      <c r="AC60" s="960">
        <f t="shared" si="16"/>
        <v>0</v>
      </c>
      <c r="AD60" s="103" cm="1">
        <f t="array" ref="AD60">IF(W60,INDEX('AEA2012 update'!$K$6:$R$104,MATCH($T60&amp;$R60,'AEA2012 update'!$A$6:$A$104&amp;'AEA2012 update'!$B$6:$B$104,0),MATCH(AD$16,'AEA2012 update'!$S$4:$Z$4,0)),INDEX('AEA2012 update'!$K$6:$R$104,MATCH($T60&amp;$U60,'AEA2012 update'!$A$6:$A$104&amp;'AEA2012 update'!$B$6:$B$104,0),MATCH(AD$16,'AEA2012 update'!$S$4:$Z$4,0)))</f>
        <v>4768239.6435325667</v>
      </c>
      <c r="AE60" s="103" cm="1">
        <f t="array" ref="AE60">IF(X60,INDEX('AEA2012 update'!$K$6:$R$104,MATCH($T60&amp;$R60,'AEA2012 update'!$A$6:$A$104&amp;'AEA2012 update'!$B$6:$B$104,0),MATCH(AE$16,'AEA2012 update'!$S$4:$Z$4,0)),INDEX('AEA2012 update'!$K$6:$R$104,MATCH($T60&amp;$U60,'AEA2012 update'!$A$6:$A$104&amp;'AEA2012 update'!$B$6:$B$104,0),MATCH(AE$16,'AEA2012 update'!$S$4:$Z$4,0)))</f>
        <v>3635729.2317425008</v>
      </c>
      <c r="AF60" s="103" cm="1">
        <f t="array" ref="AF60">IF(Y60,INDEX('AEA2012 update'!$K$6:$R$104,MATCH($T60&amp;$R60,'AEA2012 update'!$A$6:$A$104&amp;'AEA2012 update'!$B$6:$B$104,0),MATCH(AF$16,'AEA2012 update'!$S$4:$Z$4,0)),INDEX('AEA2012 update'!$K$6:$R$104,MATCH($T60&amp;$U60,'AEA2012 update'!$A$6:$A$104&amp;'AEA2012 update'!$B$6:$B$104,0),MATCH(AF$16,'AEA2012 update'!$S$4:$Z$4,0)))</f>
        <v>3447769.0113726826</v>
      </c>
      <c r="AG60" s="103" cm="1">
        <f t="array" ref="AG60">IF(Z60,INDEX('AEA2012 update'!$K$6:$R$104,MATCH($T60&amp;$R60,'AEA2012 update'!$A$6:$A$104&amp;'AEA2012 update'!$B$6:$B$104,0),MATCH(AG$16,'AEA2012 update'!$S$4:$Z$4,0)),INDEX('AEA2012 update'!$K$6:$R$104,MATCH($T60&amp;$U60,'AEA2012 update'!$A$6:$A$104&amp;'AEA2012 update'!$B$6:$B$104,0),MATCH(AG$16,'AEA2012 update'!$S$4:$Z$4,0)))</f>
        <v>3259808.7910028636</v>
      </c>
      <c r="AH60" s="103" cm="1">
        <f t="array" ref="AH60">IF(AA60,INDEX('AEA2012 update'!$K$6:$R$104,MATCH($T60&amp;$R60,'AEA2012 update'!$A$6:$A$104&amp;'AEA2012 update'!$B$6:$B$104,0),MATCH(AH$16,'AEA2012 update'!$S$4:$Z$4,0)),INDEX('AEA2012 update'!$K$6:$R$104,MATCH($T60&amp;$U60,'AEA2012 update'!$A$6:$A$104&amp;'AEA2012 update'!$B$6:$B$104,0),MATCH(AH$16,'AEA2012 update'!$S$4:$Z$4,0)))</f>
        <v>3281975.7365715932</v>
      </c>
      <c r="AI60" s="103" cm="1">
        <f t="array" ref="AI60">IF(AB60,INDEX('AEA2012 update'!$K$6:$R$104,MATCH($T60&amp;$R60,'AEA2012 update'!$A$6:$A$104&amp;'AEA2012 update'!$B$6:$B$104,0),MATCH(AI$16,'AEA2012 update'!$S$4:$Z$4,0)),INDEX('AEA2012 update'!$K$6:$R$104,MATCH($T60&amp;$U60,'AEA2012 update'!$A$6:$A$104&amp;'AEA2012 update'!$B$6:$B$104,0),MATCH(AI$16,'AEA2012 update'!$S$4:$Z$4,0)))</f>
        <v>3304142.6821403229</v>
      </c>
      <c r="AJ60" s="103" cm="1">
        <f t="array" ref="AJ60">IF(AC60,INDEX('AEA2012 update'!$K$6:$R$104,MATCH($T60&amp;$R60,'AEA2012 update'!$A$6:$A$104&amp;'AEA2012 update'!$B$6:$B$104,0),MATCH(AJ$16,'AEA2012 update'!$S$4:$Z$4,0)),INDEX('AEA2012 update'!$K$6:$R$104,MATCH($T60&amp;$U60,'AEA2012 update'!$A$6:$A$104&amp;'AEA2012 update'!$B$6:$B$104,0),MATCH(AJ$16,'AEA2012 update'!$S$4:$Z$4,0)))</f>
        <v>3346217.49468381</v>
      </c>
      <c r="AK60" s="103" t="str">
        <f t="shared" si="13"/>
        <v>BRTELC</v>
      </c>
      <c r="AL60" s="67">
        <f>INDEX('Vehicle data '!$AD$20:$AD$110,MATCH($AK60,'Vehicle data '!$AC$20:$AC$110,0))/INDEX('Vehicle data '!$AD$20:$AD$110,MATCH($AK$52,'Vehicle data '!$AC$20:$AC$110,0))*AL$52</f>
        <v>4.7713841489159794</v>
      </c>
      <c r="AM60" s="67">
        <f t="array" ref="AM60">IF($AE$1,AL60*(1+INDEX(AM$1:AM$2,MATCH($O60,$AI$1:$AI$2,0)))^(AM$16-AL$16),INDEX('AEA2012 update'!$AC$6:$AG$104,MATCH($T60&amp;$U60,'AEA2012 update'!$A$6:$A$104&amp;'AEA2012 update'!$B$6:$B$104,0),MATCH(AM$16,'AEA2012 update'!$AC$4:$AG$4,0)))</f>
        <v>4.7001706440703899</v>
      </c>
      <c r="AN60" s="67">
        <f t="array" ref="AN60">IF($AE$1,AM60*(1+INDEX(AN$1:AN$2,MATCH($O60,$AI$1:$AI$2,0)))^(AN$16-AM$16),INDEX('AEA2012 update'!$AC$6:$AG$104,MATCH($T60&amp;$U60,'AEA2012 update'!$A$6:$A$104&amp;'AEA2012 update'!$B$6:$B$104,0),MATCH(AN$16,'AEA2012 update'!$AC$4:$AG$4,0)))</f>
        <v>4.3593203016796647</v>
      </c>
      <c r="AO60" s="67">
        <f t="array" ref="AO60">IF($AE$1,AN60*(1+INDEX(AO$1:AO$2,MATCH($O60,$AI$1:$AI$2,0)))^(AO$16-AN$16),INDEX('AEA2012 update'!$AC$6:$AG$104,MATCH($T60&amp;$U60,'AEA2012 update'!$A$6:$A$104&amp;'AEA2012 update'!$B$6:$B$104,0),MATCH(AO$16,'AEA2012 update'!$AC$4:$AG$4,0)))</f>
        <v>3.9424911400610618</v>
      </c>
      <c r="AP60" s="67">
        <f t="array" ref="AP60">IF($AE$1,AO60*(1+INDEX(AP$1:AP$2,MATCH($O60,$AI$1:$AI$2,0)))^(AP$16-AO$16),INDEX('AEA2012 update'!$AC$6:$AG$104,MATCH($T60&amp;$U60,'AEA2012 update'!$A$6:$A$104&amp;'AEA2012 update'!$B$6:$B$104,0),MATCH(AP$16,'AEA2012 update'!$AC$4:$AG$4,0)))</f>
        <v>3.5655183179522494</v>
      </c>
      <c r="AQ60" s="67"/>
      <c r="AR60" s="274">
        <f t="shared" si="10"/>
        <v>-4.9750416666666606E-3</v>
      </c>
      <c r="AS60" s="274">
        <f t="shared" si="11"/>
        <v>-8.0468874575124038E-3</v>
      </c>
      <c r="AY60" s="61" t="str">
        <f t="shared" si="12"/>
        <v>BRT-ELC</v>
      </c>
      <c r="AZ60" s="80" t="e" cm="1">
        <f t="array" aca="1" ref="AZ60" ca="1">AL60/INDIRECT("cv."&amp;LEFT($U60,6)&amp;".hhv.MJL") * 100</f>
        <v>#REF!</v>
      </c>
      <c r="BA60" s="80" t="e" cm="1">
        <f t="array" aca="1" ref="BA60" ca="1">AM60/INDIRECT("cv."&amp;LEFT($U60,6)&amp;".hhv.MJL") * 100</f>
        <v>#REF!</v>
      </c>
      <c r="BB60" s="80" t="e" cm="1">
        <f t="array" aca="1" ref="BB60" ca="1">AN60/INDIRECT("cv."&amp;LEFT($U60,6)&amp;".hhv.MJL") * 100</f>
        <v>#REF!</v>
      </c>
      <c r="BC60" s="80" t="e" cm="1">
        <f t="array" aca="1" ref="BC60" ca="1">AO60/INDIRECT("cv."&amp;LEFT($U60,6)&amp;".hhv.MJL") * 100</f>
        <v>#REF!</v>
      </c>
      <c r="BD60" s="80" t="e" cm="1">
        <f t="array" aca="1" ref="BD60" ca="1">AP60/INDIRECT("cv."&amp;LEFT($U60,6)&amp;".hhv.MJL") * 100</f>
        <v>#REF!</v>
      </c>
    </row>
    <row r="61" spans="1:61" x14ac:dyDescent="0.25">
      <c r="N61" s="61" t="s">
        <v>504</v>
      </c>
      <c r="O61" s="61" t="s">
        <v>613</v>
      </c>
      <c r="P61" s="61" t="s">
        <v>59</v>
      </c>
      <c r="Q61" s="61" t="str">
        <f t="shared" si="7"/>
        <v>BRT</v>
      </c>
      <c r="R61" s="61" t="s">
        <v>687</v>
      </c>
      <c r="S61" s="65"/>
      <c r="T61" s="273" t="s">
        <v>60</v>
      </c>
      <c r="U61" s="957" t="s">
        <v>699</v>
      </c>
      <c r="V61" s="965"/>
      <c r="W61" s="958">
        <f t="shared" si="16"/>
        <v>0</v>
      </c>
      <c r="X61" s="959">
        <f t="shared" si="16"/>
        <v>0</v>
      </c>
      <c r="Y61" s="959">
        <f t="shared" si="16"/>
        <v>0</v>
      </c>
      <c r="Z61" s="959">
        <f t="shared" si="16"/>
        <v>0</v>
      </c>
      <c r="AA61" s="959">
        <f t="shared" si="16"/>
        <v>0</v>
      </c>
      <c r="AB61" s="959">
        <f t="shared" si="16"/>
        <v>0</v>
      </c>
      <c r="AC61" s="960">
        <f t="shared" si="16"/>
        <v>0</v>
      </c>
      <c r="AD61" s="103" cm="1">
        <f t="array" ref="AD61">IF(W61,INDEX('AEA2012 update'!$K$6:$R$104,MATCH($T61&amp;$R61,'AEA2012 update'!$A$6:$A$104&amp;'AEA2012 update'!$B$6:$B$104,0),MATCH(AD$16,'AEA2012 update'!$S$4:$Z$4,0)),INDEX('AEA2012 update'!$K$6:$R$104,MATCH($T61&amp;$U61,'AEA2012 update'!$A$6:$A$104&amp;'AEA2012 update'!$B$6:$B$104,0),MATCH(AD$16,'AEA2012 update'!$S$4:$Z$4,0)))</f>
        <v>6296317.3270356311</v>
      </c>
      <c r="AE61" s="103" cm="1">
        <f t="array" ref="AE61">IF(X61,INDEX('AEA2012 update'!$K$6:$R$104,MATCH($T61&amp;$R61,'AEA2012 update'!$A$6:$A$104&amp;'AEA2012 update'!$B$6:$B$104,0),MATCH(AE$16,'AEA2012 update'!$S$4:$Z$4,0)),INDEX('AEA2012 update'!$K$6:$R$104,MATCH($T61&amp;$U61,'AEA2012 update'!$A$6:$A$104&amp;'AEA2012 update'!$B$6:$B$104,0),MATCH(AE$16,'AEA2012 update'!$S$4:$Z$4,0)))</f>
        <v>3689559.6792311268</v>
      </c>
      <c r="AF61" s="103" cm="1">
        <f t="array" ref="AF61">IF(Y61,INDEX('AEA2012 update'!$K$6:$R$104,MATCH($T61&amp;$R61,'AEA2012 update'!$A$6:$A$104&amp;'AEA2012 update'!$B$6:$B$104,0),MATCH(AF$16,'AEA2012 update'!$S$4:$Z$4,0)),INDEX('AEA2012 update'!$K$6:$R$104,MATCH($T61&amp;$U61,'AEA2012 update'!$A$6:$A$104&amp;'AEA2012 update'!$B$6:$B$104,0),MATCH(AF$16,'AEA2012 update'!$S$4:$Z$4,0)))</f>
        <v>3288765.9792292048</v>
      </c>
      <c r="AG61" s="103" cm="1">
        <f t="array" ref="AG61">IF(Z61,INDEX('AEA2012 update'!$K$6:$R$104,MATCH($T61&amp;$R61,'AEA2012 update'!$A$6:$A$104&amp;'AEA2012 update'!$B$6:$B$104,0),MATCH(AG$16,'AEA2012 update'!$S$4:$Z$4,0)),INDEX('AEA2012 update'!$K$6:$R$104,MATCH($T61&amp;$U61,'AEA2012 update'!$A$6:$A$104&amp;'AEA2012 update'!$B$6:$B$104,0),MATCH(AG$16,'AEA2012 update'!$S$4:$Z$4,0)))</f>
        <v>2887972.2792272815</v>
      </c>
      <c r="AH61" s="103" cm="1">
        <f t="array" ref="AH61">IF(AA61,INDEX('AEA2012 update'!$K$6:$R$104,MATCH($T61&amp;$R61,'AEA2012 update'!$A$6:$A$104&amp;'AEA2012 update'!$B$6:$B$104,0),MATCH(AH$16,'AEA2012 update'!$S$4:$Z$4,0)),INDEX('AEA2012 update'!$K$6:$R$104,MATCH($T61&amp;$U61,'AEA2012 update'!$A$6:$A$104&amp;'AEA2012 update'!$B$6:$B$104,0),MATCH(AH$16,'AEA2012 update'!$S$4:$Z$4,0)))</f>
        <v>2842515.1832835502</v>
      </c>
      <c r="AI61" s="103" cm="1">
        <f t="array" ref="AI61">IF(AB61,INDEX('AEA2012 update'!$K$6:$R$104,MATCH($T61&amp;$R61,'AEA2012 update'!$A$6:$A$104&amp;'AEA2012 update'!$B$6:$B$104,0),MATCH(AI$16,'AEA2012 update'!$S$4:$Z$4,0)),INDEX('AEA2012 update'!$K$6:$R$104,MATCH($T61&amp;$U61,'AEA2012 update'!$A$6:$A$104&amp;'AEA2012 update'!$B$6:$B$104,0),MATCH(AI$16,'AEA2012 update'!$S$4:$Z$4,0)))</f>
        <v>2797058.087339818</v>
      </c>
      <c r="AJ61" s="103" cm="1">
        <f t="array" ref="AJ61">IF(AC61,INDEX('AEA2012 update'!$K$6:$R$104,MATCH($T61&amp;$R61,'AEA2012 update'!$A$6:$A$104&amp;'AEA2012 update'!$B$6:$B$104,0),MATCH(AJ$16,'AEA2012 update'!$S$4:$Z$4,0)),INDEX('AEA2012 update'!$K$6:$R$104,MATCH($T61&amp;$U61,'AEA2012 update'!$A$6:$A$104&amp;'AEA2012 update'!$B$6:$B$104,0),MATCH(AJ$16,'AEA2012 update'!$S$4:$Z$4,0)))</f>
        <v>2786048.7090782705</v>
      </c>
      <c r="AK61" s="103" t="str">
        <f t="shared" si="13"/>
        <v>BRTHGN</v>
      </c>
      <c r="AL61" s="67">
        <f>INDEX('Vehicle data '!$AD$20:$AD$110,MATCH($AK61,'Vehicle data '!$AC$20:$AC$110,0))/INDEX('Vehicle data '!$AD$20:$AD$110,MATCH($AK$52,'Vehicle data '!$AC$20:$AC$110,0))*AL$52</f>
        <v>7.3663474579755475</v>
      </c>
      <c r="AM61" s="67">
        <f t="array" ref="AM61">IF($AE$1,AL61*(1+INDEX(AM$1:AM$2,MATCH($O61,$AI$1:$AI$2,0)))^(AM$16-AL$16),INDEX('AEA2012 update'!$AC$6:$AG$104,MATCH($T61&amp;$U61,'AEA2012 update'!$A$6:$A$104&amp;'AEA2012 update'!$B$6:$B$104,0),MATCH(AM$16,'AEA2012 update'!$AC$4:$AG$4,0)))</f>
        <v>7.2564038013718299</v>
      </c>
      <c r="AN61" s="67">
        <f t="array" ref="AN61">IF($AE$1,AM61*(1+INDEX(AN$1:AN$2,MATCH($O61,$AI$1:$AI$2,0)))^(AN$16-AM$16),INDEX('AEA2012 update'!$AC$6:$AG$104,MATCH($T61&amp;$U61,'AEA2012 update'!$A$6:$A$104&amp;'AEA2012 update'!$B$6:$B$104,0),MATCH(AN$16,'AEA2012 update'!$AC$4:$AG$4,0)))</f>
        <v>6.730178711365097</v>
      </c>
      <c r="AO61" s="67">
        <f t="array" ref="AO61">IF($AE$1,AN61*(1+INDEX(AO$1:AO$2,MATCH($O61,$AI$1:$AI$2,0)))^(AO$16-AN$16),INDEX('AEA2012 update'!$AC$6:$AG$104,MATCH($T61&amp;$U61,'AEA2012 update'!$A$6:$A$104&amp;'AEA2012 update'!$B$6:$B$104,0),MATCH(AO$16,'AEA2012 update'!$AC$4:$AG$4,0)))</f>
        <v>6.0866529881644471</v>
      </c>
      <c r="AP61" s="67">
        <f t="array" ref="AP61">IF($AE$1,AO61*(1+INDEX(AP$1:AP$2,MATCH($O61,$AI$1:$AI$2,0)))^(AP$16-AO$16),INDEX('AEA2012 update'!$AC$6:$AG$104,MATCH($T61&amp;$U61,'AEA2012 update'!$A$6:$A$104&amp;'AEA2012 update'!$B$6:$B$104,0),MATCH(AP$16,'AEA2012 update'!$AC$4:$AG$4,0)))</f>
        <v>5.5046598592947023</v>
      </c>
      <c r="AQ61" s="67"/>
      <c r="AR61" s="274">
        <f t="shared" si="10"/>
        <v>-4.9750416666666771E-3</v>
      </c>
      <c r="AS61" s="274">
        <f t="shared" si="11"/>
        <v>-8.0468874575123969E-3</v>
      </c>
      <c r="AY61" s="61" t="str">
        <f t="shared" si="12"/>
        <v>BRT-HGN</v>
      </c>
      <c r="AZ61" s="80" t="e" cm="1">
        <f t="array" aca="1" ref="AZ61" ca="1">AL61/INDIRECT("cv."&amp;LEFT($U61,6)&amp;".hhv.MJL") * 100</f>
        <v>#REF!</v>
      </c>
      <c r="BA61" s="80" t="e" cm="1">
        <f t="array" aca="1" ref="BA61" ca="1">AM61/INDIRECT("cv."&amp;LEFT($U61,6)&amp;".hhv.MJL") * 100</f>
        <v>#REF!</v>
      </c>
      <c r="BB61" s="80" t="e" cm="1">
        <f t="array" aca="1" ref="BB61" ca="1">AN61/INDIRECT("cv."&amp;LEFT($U61,6)&amp;".hhv.MJL") * 100</f>
        <v>#REF!</v>
      </c>
      <c r="BC61" s="80" t="e" cm="1">
        <f t="array" aca="1" ref="BC61" ca="1">AO61/INDIRECT("cv."&amp;LEFT($U61,6)&amp;".hhv.MJL") * 100</f>
        <v>#REF!</v>
      </c>
      <c r="BD61" s="80" t="e" cm="1">
        <f t="array" aca="1" ref="BD61" ca="1">AP61/INDIRECT("cv."&amp;LEFT($U61,6)&amp;".hhv.MJL") * 100</f>
        <v>#REF!</v>
      </c>
    </row>
    <row r="62" spans="1:61" x14ac:dyDescent="0.25">
      <c r="N62" s="61" t="s">
        <v>509</v>
      </c>
      <c r="O62" s="61" t="s">
        <v>613</v>
      </c>
      <c r="P62" s="61" t="s">
        <v>59</v>
      </c>
      <c r="Q62" s="61" t="str">
        <f t="shared" si="7"/>
        <v>BRT</v>
      </c>
      <c r="R62" s="61" t="s">
        <v>687</v>
      </c>
      <c r="S62" s="65"/>
      <c r="T62" s="273" t="s">
        <v>60</v>
      </c>
      <c r="U62" s="957" t="s">
        <v>700</v>
      </c>
      <c r="V62" s="965"/>
      <c r="W62" s="958">
        <f t="shared" si="16"/>
        <v>0</v>
      </c>
      <c r="X62" s="959">
        <f t="shared" si="16"/>
        <v>0</v>
      </c>
      <c r="Y62" s="959">
        <f t="shared" si="16"/>
        <v>0</v>
      </c>
      <c r="Z62" s="959">
        <f t="shared" si="16"/>
        <v>0</v>
      </c>
      <c r="AA62" s="959">
        <f t="shared" si="16"/>
        <v>0</v>
      </c>
      <c r="AB62" s="959">
        <f t="shared" si="16"/>
        <v>0</v>
      </c>
      <c r="AC62" s="960">
        <f t="shared" si="16"/>
        <v>0</v>
      </c>
      <c r="AD62" s="103" cm="1">
        <f t="array" ref="AD62">IF(W62,INDEX('AEA2012 update'!$K$6:$R$104,MATCH($T62&amp;$R62,'AEA2012 update'!$A$6:$A$104&amp;'AEA2012 update'!$B$6:$B$104,0),MATCH(AD$16,'AEA2012 update'!$S$4:$Z$4,0)),INDEX('AEA2012 update'!$K$6:$R$104,MATCH($T62&amp;$U62,'AEA2012 update'!$A$6:$A$104&amp;'AEA2012 update'!$B$6:$B$104,0),MATCH(AD$16,'AEA2012 update'!$S$4:$Z$4,0)))</f>
        <v>2642700.4378444701</v>
      </c>
      <c r="AE62" s="103" cm="1">
        <f t="array" ref="AE62">IF(X62,INDEX('AEA2012 update'!$K$6:$R$104,MATCH($T62&amp;$R62,'AEA2012 update'!$A$6:$A$104&amp;'AEA2012 update'!$B$6:$B$104,0),MATCH(AE$16,'AEA2012 update'!$S$4:$Z$4,0)),INDEX('AEA2012 update'!$K$6:$R$104,MATCH($T62&amp;$U62,'AEA2012 update'!$A$6:$A$104&amp;'AEA2012 update'!$B$6:$B$104,0),MATCH(AE$16,'AEA2012 update'!$S$4:$Z$4,0)))</f>
        <v>2721902.5560658015</v>
      </c>
      <c r="AF62" s="103" cm="1">
        <f t="array" ref="AF62">IF(Y62,INDEX('AEA2012 update'!$K$6:$R$104,MATCH($T62&amp;$R62,'AEA2012 update'!$A$6:$A$104&amp;'AEA2012 update'!$B$6:$B$104,0),MATCH(AF$16,'AEA2012 update'!$S$4:$Z$4,0)),INDEX('AEA2012 update'!$K$6:$R$104,MATCH($T62&amp;$U62,'AEA2012 update'!$A$6:$A$104&amp;'AEA2012 update'!$B$6:$B$104,0),MATCH(AF$16,'AEA2012 update'!$S$4:$Z$4,0)))</f>
        <v>2750502.7102799211</v>
      </c>
      <c r="AG62" s="103" cm="1">
        <f t="array" ref="AG62">IF(Z62,INDEX('AEA2012 update'!$K$6:$R$104,MATCH($T62&amp;$R62,'AEA2012 update'!$A$6:$A$104&amp;'AEA2012 update'!$B$6:$B$104,0),MATCH(AG$16,'AEA2012 update'!$S$4:$Z$4,0)),INDEX('AEA2012 update'!$K$6:$R$104,MATCH($T62&amp;$U62,'AEA2012 update'!$A$6:$A$104&amp;'AEA2012 update'!$B$6:$B$104,0),MATCH(AG$16,'AEA2012 update'!$S$4:$Z$4,0)))</f>
        <v>2779102.8644940415</v>
      </c>
      <c r="AH62" s="103" cm="1">
        <f t="array" ref="AH62">IF(AA62,INDEX('AEA2012 update'!$K$6:$R$104,MATCH($T62&amp;$R62,'AEA2012 update'!$A$6:$A$104&amp;'AEA2012 update'!$B$6:$B$104,0),MATCH(AH$16,'AEA2012 update'!$S$4:$Z$4,0)),INDEX('AEA2012 update'!$K$6:$R$104,MATCH($T62&amp;$U62,'AEA2012 update'!$A$6:$A$104&amp;'AEA2012 update'!$B$6:$B$104,0),MATCH(AH$16,'AEA2012 update'!$S$4:$Z$4,0)))</f>
        <v>2802275.2782397773</v>
      </c>
      <c r="AI62" s="103" cm="1">
        <f t="array" ref="AI62">IF(AB62,INDEX('AEA2012 update'!$K$6:$R$104,MATCH($T62&amp;$R62,'AEA2012 update'!$A$6:$A$104&amp;'AEA2012 update'!$B$6:$B$104,0),MATCH(AI$16,'AEA2012 update'!$S$4:$Z$4,0)),INDEX('AEA2012 update'!$K$6:$R$104,MATCH($T62&amp;$U62,'AEA2012 update'!$A$6:$A$104&amp;'AEA2012 update'!$B$6:$B$104,0),MATCH(AI$16,'AEA2012 update'!$S$4:$Z$4,0)))</f>
        <v>2825447.6919855122</v>
      </c>
      <c r="AJ62" s="103" cm="1">
        <f t="array" ref="AJ62">IF(AC62,INDEX('AEA2012 update'!$K$6:$R$104,MATCH($T62&amp;$R62,'AEA2012 update'!$A$6:$A$104&amp;'AEA2012 update'!$B$6:$B$104,0),MATCH(AJ$16,'AEA2012 update'!$S$4:$Z$4,0)),INDEX('AEA2012 update'!$K$6:$R$104,MATCH($T62&amp;$U62,'AEA2012 update'!$A$6:$A$104&amp;'AEA2012 update'!$B$6:$B$104,0),MATCH(AJ$16,'AEA2012 update'!$S$4:$Z$4,0)))</f>
        <v>2885061.5408688537</v>
      </c>
      <c r="AK62" s="103" t="str">
        <f t="shared" si="13"/>
        <v>BRTGAS</v>
      </c>
      <c r="AL62" s="67">
        <f>INDEX('Vehicle data '!$AD$20:$AD$110,MATCH($AK62,'Vehicle data '!$AC$20:$AC$110,0))/INDEX('Vehicle data '!$AD$20:$AD$110,MATCH($AK$52,'Vehicle data '!$AC$20:$AC$110,0))*AL$52</f>
        <v>17.871479072128476</v>
      </c>
      <c r="AM62" s="67">
        <f t="array" ref="AM62">IF($AE$1,AL62*(1+INDEX(AM$1:AM$2,MATCH($O62,$AI$1:$AI$2,0)))^(AM$16-AL$16),INDEX('AEA2012 update'!$AC$6:$AG$104,MATCH($T62&amp;$U62,'AEA2012 update'!$A$6:$A$104&amp;'AEA2012 update'!$B$6:$B$104,0),MATCH(AM$16,'AEA2012 update'!$AC$4:$AG$4,0)))</f>
        <v>17.604745013042074</v>
      </c>
      <c r="AN62" s="67">
        <f t="array" ref="AN62">IF($AE$1,AM62*(1+INDEX(AN$1:AN$2,MATCH($O62,$AI$1:$AI$2,0)))^(AN$16-AM$16),INDEX('AEA2012 update'!$AC$6:$AG$104,MATCH($T62&amp;$U62,'AEA2012 update'!$A$6:$A$104&amp;'AEA2012 update'!$B$6:$B$104,0),MATCH(AN$16,'AEA2012 update'!$AC$4:$AG$4,0)))</f>
        <v>16.328071500567166</v>
      </c>
      <c r="AO62" s="67">
        <f t="array" ref="AO62">IF($AE$1,AN62*(1+INDEX(AO$1:AO$2,MATCH($O62,$AI$1:$AI$2,0)))^(AO$16-AN$16),INDEX('AEA2012 update'!$AC$6:$AG$104,MATCH($T62&amp;$U62,'AEA2012 update'!$A$6:$A$104&amp;'AEA2012 update'!$B$6:$B$104,0),MATCH(AO$16,'AEA2012 update'!$AC$4:$AG$4,0)))</f>
        <v>14.766815184575055</v>
      </c>
      <c r="AP62" s="67">
        <f t="array" ref="AP62">IF($AE$1,AO62*(1+INDEX(AP$1:AP$2,MATCH($O62,$AI$1:$AI$2,0)))^(AP$16-AO$16),INDEX('AEA2012 update'!$AC$6:$AG$104,MATCH($T62&amp;$U62,'AEA2012 update'!$A$6:$A$104&amp;'AEA2012 update'!$B$6:$B$104,0),MATCH(AP$16,'AEA2012 update'!$AC$4:$AG$4,0)))</f>
        <v>13.354842957897509</v>
      </c>
      <c r="AQ62" s="67"/>
      <c r="AR62" s="274">
        <f t="shared" si="10"/>
        <v>-4.9750416666666927E-3</v>
      </c>
      <c r="AS62" s="274">
        <f t="shared" si="11"/>
        <v>-8.0468874575123951E-3</v>
      </c>
      <c r="AY62" s="61" t="str">
        <f t="shared" si="12"/>
        <v>BRT-GAS</v>
      </c>
      <c r="AZ62" s="80" t="e" cm="1">
        <f t="array" aca="1" ref="AZ62" ca="1">AL62/INDIRECT("cv."&amp;LEFT($U62,6)&amp;".hhv.MJL") * 100</f>
        <v>#REF!</v>
      </c>
      <c r="BA62" s="80" t="e" cm="1">
        <f t="array" aca="1" ref="BA62" ca="1">AM62/INDIRECT("cv."&amp;LEFT($U62,6)&amp;".hhv.MJL") * 100</f>
        <v>#REF!</v>
      </c>
      <c r="BB62" s="80" t="e" cm="1">
        <f t="array" aca="1" ref="BB62" ca="1">AN62/INDIRECT("cv."&amp;LEFT($U62,6)&amp;".hhv.MJL") * 100</f>
        <v>#REF!</v>
      </c>
      <c r="BC62" s="80" t="e" cm="1">
        <f t="array" aca="1" ref="BC62" ca="1">AO62/INDIRECT("cv."&amp;LEFT($U62,6)&amp;".hhv.MJL") * 100</f>
        <v>#REF!</v>
      </c>
      <c r="BD62" s="80" t="e" cm="1">
        <f t="array" aca="1" ref="BD62" ca="1">AP62/INDIRECT("cv."&amp;LEFT($U62,6)&amp;".hhv.MJL") * 100</f>
        <v>#REF!</v>
      </c>
      <c r="BH62" s="279">
        <v>2020</v>
      </c>
      <c r="BI62" s="279"/>
    </row>
    <row r="63" spans="1:61" ht="15.75" thickBot="1" x14ac:dyDescent="0.3">
      <c r="A63" s="280" t="s">
        <v>722</v>
      </c>
      <c r="C63" s="61">
        <v>2010</v>
      </c>
      <c r="Q63" s="61" t="str">
        <f t="shared" si="7"/>
        <v/>
      </c>
      <c r="S63" s="65"/>
      <c r="T63" s="273"/>
      <c r="V63" s="965"/>
      <c r="W63" s="961">
        <f t="shared" si="16"/>
        <v>0</v>
      </c>
      <c r="X63" s="962">
        <f t="shared" si="16"/>
        <v>0</v>
      </c>
      <c r="Y63" s="962">
        <f t="shared" si="16"/>
        <v>0</v>
      </c>
      <c r="Z63" s="962">
        <f t="shared" si="16"/>
        <v>0</v>
      </c>
      <c r="AA63" s="962">
        <f t="shared" si="16"/>
        <v>0</v>
      </c>
      <c r="AB63" s="962">
        <f t="shared" si="16"/>
        <v>0</v>
      </c>
      <c r="AC63" s="963">
        <f t="shared" si="16"/>
        <v>0</v>
      </c>
      <c r="AD63" s="103" t="e" cm="1">
        <f t="array" ref="AD63">IF(W63,INDEX('AEA2012 update'!$K$6:$R$104,MATCH($T63&amp;$R63,'AEA2012 update'!$A$6:$A$104&amp;'AEA2012 update'!$B$6:$B$104,0),MATCH(AD$16,'AEA2012 update'!$S$4:$Z$4,0)),INDEX('AEA2012 update'!$K$6:$R$104,MATCH($T63&amp;$U63,'AEA2012 update'!$A$6:$A$104&amp;'AEA2012 update'!$B$6:$B$104,0),MATCH(AD$16,'AEA2012 update'!$S$4:$Z$4,0)))</f>
        <v>#N/A</v>
      </c>
      <c r="AE63" s="103" t="e" cm="1">
        <f t="array" ref="AE63">IF(X63,INDEX('AEA2012 update'!$K$6:$R$104,MATCH($T63&amp;$R63,'AEA2012 update'!$A$6:$A$104&amp;'AEA2012 update'!$B$6:$B$104,0),MATCH(AE$16,'AEA2012 update'!$S$4:$Z$4,0)),INDEX('AEA2012 update'!$K$6:$R$104,MATCH($T63&amp;$U63,'AEA2012 update'!$A$6:$A$104&amp;'AEA2012 update'!$B$6:$B$104,0),MATCH(AE$16,'AEA2012 update'!$S$4:$Z$4,0)))</f>
        <v>#N/A</v>
      </c>
      <c r="AF63" s="103" t="e" cm="1">
        <f t="array" ref="AF63">IF(Y63,INDEX('AEA2012 update'!$K$6:$R$104,MATCH($T63&amp;$R63,'AEA2012 update'!$A$6:$A$104&amp;'AEA2012 update'!$B$6:$B$104,0),MATCH(AF$16,'AEA2012 update'!$S$4:$Z$4,0)),INDEX('AEA2012 update'!$K$6:$R$104,MATCH($T63&amp;$U63,'AEA2012 update'!$A$6:$A$104&amp;'AEA2012 update'!$B$6:$B$104,0),MATCH(AF$16,'AEA2012 update'!$S$4:$Z$4,0)))</f>
        <v>#N/A</v>
      </c>
      <c r="AG63" s="103" t="e" cm="1">
        <f t="array" ref="AG63">IF(Z63,INDEX('AEA2012 update'!$K$6:$R$104,MATCH($T63&amp;$R63,'AEA2012 update'!$A$6:$A$104&amp;'AEA2012 update'!$B$6:$B$104,0),MATCH(AG$16,'AEA2012 update'!$S$4:$Z$4,0)),INDEX('AEA2012 update'!$K$6:$R$104,MATCH($T63&amp;$U63,'AEA2012 update'!$A$6:$A$104&amp;'AEA2012 update'!$B$6:$B$104,0),MATCH(AG$16,'AEA2012 update'!$S$4:$Z$4,0)))</f>
        <v>#N/A</v>
      </c>
      <c r="AH63" s="103" t="e" cm="1">
        <f t="array" ref="AH63">IF(AA63,INDEX('AEA2012 update'!$K$6:$R$104,MATCH($T63&amp;$R63,'AEA2012 update'!$A$6:$A$104&amp;'AEA2012 update'!$B$6:$B$104,0),MATCH(AH$16,'AEA2012 update'!$S$4:$Z$4,0)),INDEX('AEA2012 update'!$K$6:$R$104,MATCH($T63&amp;$U63,'AEA2012 update'!$A$6:$A$104&amp;'AEA2012 update'!$B$6:$B$104,0),MATCH(AH$16,'AEA2012 update'!$S$4:$Z$4,0)))</f>
        <v>#N/A</v>
      </c>
      <c r="AI63" s="103" t="e" cm="1">
        <f t="array" ref="AI63">IF(AB63,INDEX('AEA2012 update'!$K$6:$R$104,MATCH($T63&amp;$R63,'AEA2012 update'!$A$6:$A$104&amp;'AEA2012 update'!$B$6:$B$104,0),MATCH(AI$16,'AEA2012 update'!$S$4:$Z$4,0)),INDEX('AEA2012 update'!$K$6:$R$104,MATCH($T63&amp;$U63,'AEA2012 update'!$A$6:$A$104&amp;'AEA2012 update'!$B$6:$B$104,0),MATCH(AI$16,'AEA2012 update'!$S$4:$Z$4,0)))</f>
        <v>#N/A</v>
      </c>
      <c r="AJ63" s="103" t="e" cm="1">
        <f t="array" ref="AJ63">IF(AC63,INDEX('AEA2012 update'!$K$6:$R$104,MATCH($T63&amp;$R63,'AEA2012 update'!$A$6:$A$104&amp;'AEA2012 update'!$B$6:$B$104,0),MATCH(AJ$16,'AEA2012 update'!$S$4:$Z$4,0)),INDEX('AEA2012 update'!$K$6:$R$104,MATCH($T63&amp;$U63,'AEA2012 update'!$A$6:$A$104&amp;'AEA2012 update'!$B$6:$B$104,0),MATCH(AJ$16,'AEA2012 update'!$S$4:$Z$4,0)))</f>
        <v>#N/A</v>
      </c>
      <c r="AK63" s="103" t="str">
        <f t="shared" si="13"/>
        <v/>
      </c>
      <c r="AL63" s="67" t="e">
        <f>1/INDEX(Analytica!$AA$17:$AE$48,MATCH($AK63,Analytica!$A$17:$A$48,0),MATCH(AL$16,Analytica!$AA$16:$AE$16,0))</f>
        <v>#N/A</v>
      </c>
      <c r="AM63" s="67" t="e">
        <f t="array" ref="AM63">IF($AE$1,AL63*(1+INDEX(AM$1:AM$2,MATCH($O63,$AI$1:$AI$2,0)))^(AM$16-AL$16),INDEX('AEA2012 update'!$AC$6:$AG$104,MATCH($T63&amp;$U63,'AEA2012 update'!$A$6:$A$104&amp;'AEA2012 update'!$B$6:$B$104,0),MATCH(AM$16,'AEA2012 update'!$AC$4:$AG$4,0)))</f>
        <v>#N/A</v>
      </c>
      <c r="AN63" s="67" t="e">
        <f t="array" ref="AN63">IF($AE$1,AM63*(1+INDEX(AN$1:AN$2,MATCH($O63,$AI$1:$AI$2,0)))^(AN$16-AM$16),INDEX('AEA2012 update'!$AC$6:$AG$104,MATCH($T63&amp;$U63,'AEA2012 update'!$A$6:$A$104&amp;'AEA2012 update'!$B$6:$B$104,0),MATCH(AN$16,'AEA2012 update'!$AC$4:$AG$4,0)))</f>
        <v>#N/A</v>
      </c>
      <c r="AO63" s="67" t="e">
        <f t="array" ref="AO63">IF($AE$1,AN63*(1+INDEX(AO$1:AO$2,MATCH($O63,$AI$1:$AI$2,0)))^(AO$16-AN$16),INDEX('AEA2012 update'!$AC$6:$AG$104,MATCH($T63&amp;$U63,'AEA2012 update'!$A$6:$A$104&amp;'AEA2012 update'!$B$6:$B$104,0),MATCH(AO$16,'AEA2012 update'!$AC$4:$AG$4,0)))</f>
        <v>#N/A</v>
      </c>
      <c r="AP63" s="67" t="e">
        <f t="array" ref="AP63">IF($AE$1,AO63*(1+INDEX(AP$1:AP$2,MATCH($O63,$AI$1:$AI$2,0)))^(AP$16-AO$16),INDEX('AEA2012 update'!$AC$6:$AG$104,MATCH($T63&amp;$U63,'AEA2012 update'!$A$6:$A$104&amp;'AEA2012 update'!$B$6:$B$104,0),MATCH(AP$16,'AEA2012 update'!$AC$4:$AG$4,0)))</f>
        <v>#N/A</v>
      </c>
      <c r="AQ63" s="67"/>
      <c r="AR63" s="274" t="e">
        <f t="shared" si="10"/>
        <v>#N/A</v>
      </c>
      <c r="AS63" s="274" t="e">
        <f t="shared" si="11"/>
        <v>#N/A</v>
      </c>
      <c r="AY63" s="61" t="str">
        <f t="shared" si="12"/>
        <v>-</v>
      </c>
      <c r="AZ63" s="80" t="e" cm="1">
        <f t="array" aca="1" ref="AZ63" ca="1">AL63/INDIRECT("cv."&amp;LEFT($U63,6)&amp;".hhv.MJL") * 100</f>
        <v>#N/A</v>
      </c>
      <c r="BA63" s="80" t="e" cm="1">
        <f t="array" aca="1" ref="BA63" ca="1">AM63/INDIRECT("cv."&amp;LEFT($U63,6)&amp;".hhv.MJL") * 100</f>
        <v>#N/A</v>
      </c>
      <c r="BB63" s="80" t="e" cm="1">
        <f t="array" aca="1" ref="BB63" ca="1">AN63/INDIRECT("cv."&amp;LEFT($U63,6)&amp;".hhv.MJL") * 100</f>
        <v>#N/A</v>
      </c>
      <c r="BC63" s="80" t="e" cm="1">
        <f t="array" aca="1" ref="BC63" ca="1">AO63/INDIRECT("cv."&amp;LEFT($U63,6)&amp;".hhv.MJL") * 100</f>
        <v>#N/A</v>
      </c>
      <c r="BD63" s="80" t="e" cm="1">
        <f t="array" aca="1" ref="BD63" ca="1">AP63/INDIRECT("cv."&amp;LEFT($U63,6)&amp;".hhv.MJL") * 100</f>
        <v>#N/A</v>
      </c>
      <c r="BH63" s="279" t="s">
        <v>723</v>
      </c>
      <c r="BI63" s="279"/>
    </row>
    <row r="64" spans="1:61" ht="15.75" thickBot="1" x14ac:dyDescent="0.3">
      <c r="A64" s="281" t="s">
        <v>247</v>
      </c>
      <c r="B64" s="282">
        <v>852698</v>
      </c>
      <c r="C64" s="283">
        <f t="shared" ref="C64:C75" si="17">B64/$B$76</f>
        <v>0.33180253208690158</v>
      </c>
      <c r="N64" s="61" t="s">
        <v>573</v>
      </c>
      <c r="O64" s="61" t="s">
        <v>653</v>
      </c>
      <c r="P64" s="61" t="s">
        <v>63</v>
      </c>
      <c r="Q64" s="61" t="str">
        <f t="shared" si="7"/>
        <v>LCV</v>
      </c>
      <c r="R64" s="61" t="s">
        <v>680</v>
      </c>
      <c r="S64" s="65"/>
      <c r="T64" s="273" t="s">
        <v>701</v>
      </c>
      <c r="U64" s="957" t="s">
        <v>680</v>
      </c>
      <c r="V64" s="965"/>
      <c r="W64" s="958">
        <f t="shared" si="16"/>
        <v>0</v>
      </c>
      <c r="X64" s="959">
        <f t="shared" si="16"/>
        <v>0</v>
      </c>
      <c r="Y64" s="959">
        <f t="shared" si="16"/>
        <v>0</v>
      </c>
      <c r="Z64" s="959">
        <f t="shared" si="16"/>
        <v>0</v>
      </c>
      <c r="AA64" s="959">
        <f t="shared" si="16"/>
        <v>0</v>
      </c>
      <c r="AB64" s="959">
        <f t="shared" si="16"/>
        <v>0</v>
      </c>
      <c r="AC64" s="960">
        <f t="shared" si="16"/>
        <v>0</v>
      </c>
      <c r="AD64" s="103" cm="1">
        <f t="array" ref="AD64">IF(W64,INDEX('AEA2012 update'!$K$6:$R$104,MATCH($T64&amp;$R64,'AEA2012 update'!$A$6:$A$104&amp;'AEA2012 update'!$B$6:$B$104,0),MATCH(AD$16,'AEA2012 update'!$S$4:$Z$4,0)),INDEX('AEA2012 update'!$K$6:$R$104,MATCH($T64&amp;$U64,'AEA2012 update'!$A$6:$A$104&amp;'AEA2012 update'!$B$6:$B$104,0),MATCH(AD$16,'AEA2012 update'!$S$4:$Z$4,0)))</f>
        <v>322554.53757929691</v>
      </c>
      <c r="AE64" s="103" cm="1">
        <f t="array" ref="AE64">IF(X64,INDEX('AEA2012 update'!$K$6:$R$104,MATCH($T64&amp;$R64,'AEA2012 update'!$A$6:$A$104&amp;'AEA2012 update'!$B$6:$B$104,0),MATCH(AE$16,'AEA2012 update'!$S$4:$Z$4,0)),INDEX('AEA2012 update'!$K$6:$R$104,MATCH($T64&amp;$U64,'AEA2012 update'!$A$6:$A$104&amp;'AEA2012 update'!$B$6:$B$104,0),MATCH(AE$16,'AEA2012 update'!$S$4:$Z$4,0)))</f>
        <v>350637.87759734597</v>
      </c>
      <c r="AF64" s="103" cm="1">
        <f t="array" ref="AF64">IF(Y64,INDEX('AEA2012 update'!$K$6:$R$104,MATCH($T64&amp;$R64,'AEA2012 update'!$A$6:$A$104&amp;'AEA2012 update'!$B$6:$B$104,0),MATCH(AF$16,'AEA2012 update'!$S$4:$Z$4,0)),INDEX('AEA2012 update'!$K$6:$R$104,MATCH($T64&amp;$U64,'AEA2012 update'!$A$6:$A$104&amp;'AEA2012 update'!$B$6:$B$104,0),MATCH(AF$16,'AEA2012 update'!$S$4:$Z$4,0)))</f>
        <v>357099.62238446943</v>
      </c>
      <c r="AG64" s="103" cm="1">
        <f t="array" ref="AG64">IF(Z64,INDEX('AEA2012 update'!$K$6:$R$104,MATCH($T64&amp;$R64,'AEA2012 update'!$A$6:$A$104&amp;'AEA2012 update'!$B$6:$B$104,0),MATCH(AG$16,'AEA2012 update'!$S$4:$Z$4,0)),INDEX('AEA2012 update'!$K$6:$R$104,MATCH($T64&amp;$U64,'AEA2012 update'!$A$6:$A$104&amp;'AEA2012 update'!$B$6:$B$104,0),MATCH(AG$16,'AEA2012 update'!$S$4:$Z$4,0)))</f>
        <v>363561.36717159278</v>
      </c>
      <c r="AH64" s="103" cm="1">
        <f t="array" ref="AH64">IF(AA64,INDEX('AEA2012 update'!$K$6:$R$104,MATCH($T64&amp;$R64,'AEA2012 update'!$A$6:$A$104&amp;'AEA2012 update'!$B$6:$B$104,0),MATCH(AH$16,'AEA2012 update'!$S$4:$Z$4,0)),INDEX('AEA2012 update'!$K$6:$R$104,MATCH($T64&amp;$U64,'AEA2012 update'!$A$6:$A$104&amp;'AEA2012 update'!$B$6:$B$104,0),MATCH(AH$16,'AEA2012 update'!$S$4:$Z$4,0)))</f>
        <v>371500.85823323019</v>
      </c>
      <c r="AI64" s="103" cm="1">
        <f t="array" ref="AI64">IF(AB64,INDEX('AEA2012 update'!$K$6:$R$104,MATCH($T64&amp;$R64,'AEA2012 update'!$A$6:$A$104&amp;'AEA2012 update'!$B$6:$B$104,0),MATCH(AI$16,'AEA2012 update'!$S$4:$Z$4,0)),INDEX('AEA2012 update'!$K$6:$R$104,MATCH($T64&amp;$U64,'AEA2012 update'!$A$6:$A$104&amp;'AEA2012 update'!$B$6:$B$104,0),MATCH(AI$16,'AEA2012 update'!$S$4:$Z$4,0)))</f>
        <v>379440.3492948676</v>
      </c>
      <c r="AJ64" s="103" cm="1">
        <f t="array" ref="AJ64">IF(AC64,INDEX('AEA2012 update'!$K$6:$R$104,MATCH($T64&amp;$R64,'AEA2012 update'!$A$6:$A$104&amp;'AEA2012 update'!$B$6:$B$104,0),MATCH(AJ$16,'AEA2012 update'!$S$4:$Z$4,0)),INDEX('AEA2012 update'!$K$6:$R$104,MATCH($T64&amp;$U64,'AEA2012 update'!$A$6:$A$104&amp;'AEA2012 update'!$B$6:$B$104,0),MATCH(AJ$16,'AEA2012 update'!$S$4:$Z$4,0)))</f>
        <v>387396.22422821133</v>
      </c>
      <c r="AK64" s="103" t="str">
        <f t="shared" si="13"/>
        <v>LCVOGS</v>
      </c>
      <c r="AL64" s="67">
        <f>1/INDEX(Analytica!$AA$17:$AE$48,MATCH($AK64,Analytica!$A$17:$A$48,0),MATCH(AL$16,Analytica!$AA$16:$AE$16,0))</f>
        <v>4.8483852312768576</v>
      </c>
      <c r="AM64" s="67">
        <f t="array" ref="AM64">IF($AE$1,AL64*(1+INDEX(AM$1:AM$2,MATCH($O64,$AI$1:$AI$2,0)))^(AM$16-AL$16),INDEX('AEA2012 update'!$AC$6:$AG$104,MATCH($T64&amp;$U64,'AEA2012 update'!$A$6:$A$104&amp;'AEA2012 update'!$B$6:$B$104,0),MATCH(AM$16,'AEA2012 update'!$AC$4:$AG$4,0)))</f>
        <v>4.8338546158903357</v>
      </c>
      <c r="AN64" s="67">
        <f t="array" ref="AN64">IF($AE$1,AM64*(1+INDEX(AN$1:AN$2,MATCH($O64,$AI$1:$AI$2,0)))^(AN$16-AM$16),INDEX('AEA2012 update'!$AC$6:$AG$104,MATCH($T64&amp;$U64,'AEA2012 update'!$A$6:$A$104&amp;'AEA2012 update'!$B$6:$B$104,0),MATCH(AN$16,'AEA2012 update'!$AC$4:$AG$4,0)))</f>
        <v>4.5744771114907996</v>
      </c>
      <c r="AO64" s="67">
        <f t="array" ref="AO64">IF($AE$1,AN64*(1+INDEX(AO$1:AO$2,MATCH($O64,$AI$1:$AI$2,0)))^(AO$16-AN$16),INDEX('AEA2012 update'!$AC$6:$AG$104,MATCH($T64&amp;$U64,'AEA2012 update'!$A$6:$A$104&amp;'AEA2012 update'!$B$6:$B$104,0),MATCH(AO$16,'AEA2012 update'!$AC$4:$AG$4,0)))</f>
        <v>4.1370751021703311</v>
      </c>
      <c r="AP64" s="67">
        <f t="array" ref="AP64">IF($AE$1,AO64*(1+INDEX(AP$1:AP$2,MATCH($O64,$AI$1:$AI$2,0)))^(AP$16-AO$16),INDEX('AEA2012 update'!$AC$6:$AG$104,MATCH($T64&amp;$U64,'AEA2012 update'!$A$6:$A$104&amp;'AEA2012 update'!$B$6:$B$104,0),MATCH(AP$16,'AEA2012 update'!$AC$4:$AG$4,0)))</f>
        <v>3.741496565368065</v>
      </c>
      <c r="AQ64" s="67"/>
      <c r="AR64" s="274">
        <f t="shared" si="10"/>
        <v>-9.9900033333332784E-4</v>
      </c>
      <c r="AS64" s="274">
        <f t="shared" si="11"/>
        <v>-7.5326913841620375E-3</v>
      </c>
      <c r="AY64" s="61" t="str">
        <f t="shared" si="12"/>
        <v>LCV-OGS</v>
      </c>
      <c r="AZ64" s="80" t="e" cm="1">
        <f t="array" aca="1" ref="AZ64" ca="1">AL64/INDIRECT("cv."&amp;LEFT($U64,6)&amp;".hhv.MJL") * 100</f>
        <v>#REF!</v>
      </c>
      <c r="BA64" s="80" t="e" cm="1">
        <f t="array" aca="1" ref="BA64" ca="1">AM64/INDIRECT("cv."&amp;LEFT($U64,6)&amp;".hhv.MJL") * 100</f>
        <v>#REF!</v>
      </c>
      <c r="BB64" s="80" t="e" cm="1">
        <f t="array" aca="1" ref="BB64" ca="1">AN64/INDIRECT("cv."&amp;LEFT($U64,6)&amp;".hhv.MJL") * 100</f>
        <v>#REF!</v>
      </c>
      <c r="BC64" s="80" t="e" cm="1">
        <f t="array" aca="1" ref="BC64" ca="1">AO64/INDIRECT("cv."&amp;LEFT($U64,6)&amp;".hhv.MJL") * 100</f>
        <v>#REF!</v>
      </c>
      <c r="BD64" s="80" t="e" cm="1">
        <f t="array" aca="1" ref="BD64" ca="1">AP64/INDIRECT("cv."&amp;LEFT($U64,6)&amp;".hhv.MJL") * 100</f>
        <v>#REF!</v>
      </c>
      <c r="BH64" s="279">
        <f>Analytica!AB34</f>
        <v>0.206726097108171</v>
      </c>
      <c r="BI64" s="284" t="e" cm="1">
        <f t="array" aca="1" ref="BI64" ca="1">(1/BH64)/INDIRECT("cv."&amp;LEFT($U64,6)&amp;".lhv.MJL") * 100</f>
        <v>#REF!</v>
      </c>
    </row>
    <row r="65" spans="1:61" ht="15.75" thickBot="1" x14ac:dyDescent="0.3">
      <c r="A65" s="285" t="s">
        <v>246</v>
      </c>
      <c r="B65" s="286">
        <v>1394106</v>
      </c>
      <c r="C65" s="283">
        <f t="shared" si="17"/>
        <v>0.54247564882003008</v>
      </c>
      <c r="N65" s="61" t="s">
        <v>519</v>
      </c>
      <c r="O65" s="61" t="s">
        <v>653</v>
      </c>
      <c r="P65" s="61" t="s">
        <v>63</v>
      </c>
      <c r="Q65" s="61" t="str">
        <f t="shared" si="7"/>
        <v>LCV</v>
      </c>
      <c r="R65" s="61" t="s">
        <v>680</v>
      </c>
      <c r="S65" s="65"/>
      <c r="T65" s="273" t="s">
        <v>701</v>
      </c>
      <c r="U65" s="957" t="s">
        <v>688</v>
      </c>
      <c r="V65" s="965">
        <v>2035</v>
      </c>
      <c r="W65" s="958">
        <f t="shared" si="16"/>
        <v>0</v>
      </c>
      <c r="X65" s="959">
        <f t="shared" si="16"/>
        <v>0</v>
      </c>
      <c r="Y65" s="959">
        <f t="shared" si="16"/>
        <v>0</v>
      </c>
      <c r="Z65" s="959">
        <f t="shared" si="16"/>
        <v>0</v>
      </c>
      <c r="AA65" s="959">
        <f t="shared" si="16"/>
        <v>1</v>
      </c>
      <c r="AB65" s="959">
        <f t="shared" si="16"/>
        <v>1</v>
      </c>
      <c r="AC65" s="960">
        <f t="shared" si="16"/>
        <v>1</v>
      </c>
      <c r="AD65" s="103" cm="1">
        <f t="array" ref="AD65">IF(W65,INDEX('AEA2012 update'!$K$6:$R$104,MATCH($T65&amp;$R65,'AEA2012 update'!$A$6:$A$104&amp;'AEA2012 update'!$B$6:$B$104,0),MATCH(AD$16,'AEA2012 update'!$S$4:$Z$4,0)),INDEX('AEA2012 update'!$K$6:$R$104,MATCH($T65&amp;$U65,'AEA2012 update'!$A$6:$A$104&amp;'AEA2012 update'!$B$6:$B$104,0),MATCH(AD$16,'AEA2012 update'!$S$4:$Z$4,0)))</f>
        <v>456466.29787467641</v>
      </c>
      <c r="AE65" s="103" cm="1">
        <f t="array" ref="AE65">IF(X65,INDEX('AEA2012 update'!$K$6:$R$104,MATCH($T65&amp;$R65,'AEA2012 update'!$A$6:$A$104&amp;'AEA2012 update'!$B$6:$B$104,0),MATCH(AE$16,'AEA2012 update'!$S$4:$Z$4,0)),INDEX('AEA2012 update'!$K$6:$R$104,MATCH($T65&amp;$U65,'AEA2012 update'!$A$6:$A$104&amp;'AEA2012 update'!$B$6:$B$104,0),MATCH(AE$16,'AEA2012 update'!$S$4:$Z$4,0)))</f>
        <v>444711.45451370708</v>
      </c>
      <c r="AF65" s="103" cm="1">
        <f t="array" ref="AF65">IF(Y65,INDEX('AEA2012 update'!$K$6:$R$104,MATCH($T65&amp;$R65,'AEA2012 update'!$A$6:$A$104&amp;'AEA2012 update'!$B$6:$B$104,0),MATCH(AF$16,'AEA2012 update'!$S$4:$Z$4,0)),INDEX('AEA2012 update'!$K$6:$R$104,MATCH($T65&amp;$U65,'AEA2012 update'!$A$6:$A$104&amp;'AEA2012 update'!$B$6:$B$104,0),MATCH(AF$16,'AEA2012 update'!$S$4:$Z$4,0)))</f>
        <v>441886.43413290184</v>
      </c>
      <c r="AG65" s="103" cm="1">
        <f t="array" ref="AG65">IF(Z65,INDEX('AEA2012 update'!$K$6:$R$104,MATCH($T65&amp;$R65,'AEA2012 update'!$A$6:$A$104&amp;'AEA2012 update'!$B$6:$B$104,0),MATCH(AG$16,'AEA2012 update'!$S$4:$Z$4,0)),INDEX('AEA2012 update'!$K$6:$R$104,MATCH($T65&amp;$U65,'AEA2012 update'!$A$6:$A$104&amp;'AEA2012 update'!$B$6:$B$104,0),MATCH(AG$16,'AEA2012 update'!$S$4:$Z$4,0)))</f>
        <v>439061.41375209665</v>
      </c>
      <c r="AH65" s="103" cm="1">
        <f t="array" ref="AH65">IF(AA65,INDEX('AEA2012 update'!$K$6:$R$104,MATCH($T65&amp;$R65,'AEA2012 update'!$A$6:$A$104&amp;'AEA2012 update'!$B$6:$B$104,0),MATCH(AH$16,'AEA2012 update'!$S$4:$Z$4,0)),INDEX('AEA2012 update'!$K$6:$R$104,MATCH($T65&amp;$U65,'AEA2012 update'!$A$6:$A$104&amp;'AEA2012 update'!$B$6:$B$104,0),MATCH(AH$16,'AEA2012 update'!$S$4:$Z$4,0)))</f>
        <v>371500.85823323019</v>
      </c>
      <c r="AI65" s="103" cm="1">
        <f t="array" ref="AI65">IF(AB65,INDEX('AEA2012 update'!$K$6:$R$104,MATCH($T65&amp;$R65,'AEA2012 update'!$A$6:$A$104&amp;'AEA2012 update'!$B$6:$B$104,0),MATCH(AI$16,'AEA2012 update'!$S$4:$Z$4,0)),INDEX('AEA2012 update'!$K$6:$R$104,MATCH($T65&amp;$U65,'AEA2012 update'!$A$6:$A$104&amp;'AEA2012 update'!$B$6:$B$104,0),MATCH(AI$16,'AEA2012 update'!$S$4:$Z$4,0)))</f>
        <v>379440.3492948676</v>
      </c>
      <c r="AJ65" s="103" cm="1">
        <f t="array" ref="AJ65">IF(AC65,INDEX('AEA2012 update'!$K$6:$R$104,MATCH($T65&amp;$R65,'AEA2012 update'!$A$6:$A$104&amp;'AEA2012 update'!$B$6:$B$104,0),MATCH(AJ$16,'AEA2012 update'!$S$4:$Z$4,0)),INDEX('AEA2012 update'!$K$6:$R$104,MATCH($T65&amp;$U65,'AEA2012 update'!$A$6:$A$104&amp;'AEA2012 update'!$B$6:$B$104,0),MATCH(AJ$16,'AEA2012 update'!$S$4:$Z$4,0)))</f>
        <v>387396.22422821133</v>
      </c>
      <c r="AK65" s="103" t="str">
        <f t="shared" si="13"/>
        <v>LCVOGSH</v>
      </c>
      <c r="AL65" s="67">
        <f>INDEX('Vehicle data '!$AD$20:$AD$110,MATCH($AK65,'Vehicle data '!$AC$20:$AC$110,0))/INDEX('Vehicle data '!$AD$20:$AD$110,MATCH($AK$64,'Vehicle data '!$AC$20:$AC$110,0))*AL$64</f>
        <v>3.7046285266563088</v>
      </c>
      <c r="AM65" s="67">
        <f t="array" ref="AM65">IF($AE$1,AL65*(1+INDEX(AM$1:AM$2,MATCH($O65,$AI$1:$AI$2,0)))^(AM$16-AL$16),INDEX('AEA2012 update'!$AC$6:$AG$104,MATCH($T65&amp;$U65,'AEA2012 update'!$A$6:$A$104&amp;'AEA2012 update'!$B$6:$B$104,0),MATCH(AM$16,'AEA2012 update'!$AC$4:$AG$4,0)))</f>
        <v>3.6935257512572912</v>
      </c>
      <c r="AN65" s="67">
        <f t="array" ref="AN65">IF($AE$1,AM65*(1+INDEX(AN$1:AN$2,MATCH($O65,$AI$1:$AI$2,0)))^(AN$16-AM$16),INDEX('AEA2012 update'!$AC$6:$AG$104,MATCH($T65&amp;$U65,'AEA2012 update'!$A$6:$A$104&amp;'AEA2012 update'!$B$6:$B$104,0),MATCH(AN$16,'AEA2012 update'!$AC$4:$AG$4,0)))</f>
        <v>3.4953366107218584</v>
      </c>
      <c r="AO65" s="67">
        <f t="array" ref="AO65">IF($AE$1,AN65*(1+INDEX(AO$1:AO$2,MATCH($O65,$AI$1:$AI$2,0)))^(AO$16-AN$16),INDEX('AEA2012 update'!$AC$6:$AG$104,MATCH($T65&amp;$U65,'AEA2012 update'!$A$6:$A$104&amp;'AEA2012 update'!$B$6:$B$104,0),MATCH(AO$16,'AEA2012 update'!$AC$4:$AG$4,0)))</f>
        <v>3.1611197768588757</v>
      </c>
      <c r="AP65" s="67">
        <f t="array" ref="AP65">IF($AE$1,AO65*(1+INDEX(AP$1:AP$2,MATCH($O65,$AI$1:$AI$2,0)))^(AP$16-AO$16),INDEX('AEA2012 update'!$AC$6:$AG$104,MATCH($T65&amp;$U65,'AEA2012 update'!$A$6:$A$104&amp;'AEA2012 update'!$B$6:$B$104,0),MATCH(AP$16,'AEA2012 update'!$AC$4:$AG$4,0)))</f>
        <v>2.8588600631469983</v>
      </c>
      <c r="AQ65" s="67"/>
      <c r="AR65" s="274">
        <f t="shared" si="10"/>
        <v>-9.9900033333334432E-4</v>
      </c>
      <c r="AS65" s="274">
        <f t="shared" si="11"/>
        <v>-7.5326913841620427E-3</v>
      </c>
      <c r="AY65" s="61" t="str">
        <f t="shared" si="12"/>
        <v>LCV-OGSH</v>
      </c>
      <c r="AZ65" s="80" t="e" cm="1">
        <f t="array" aca="1" ref="AZ65" ca="1">AL65/INDIRECT("cv."&amp;LEFT($U65,6)&amp;".hhv.MJL") * 100</f>
        <v>#REF!</v>
      </c>
      <c r="BA65" s="80" t="e" cm="1">
        <f t="array" aca="1" ref="BA65" ca="1">AM65/INDIRECT("cv."&amp;LEFT($U65,6)&amp;".hhv.MJL") * 100</f>
        <v>#REF!</v>
      </c>
      <c r="BB65" s="80" t="e" cm="1">
        <f t="array" aca="1" ref="BB65" ca="1">AN65/INDIRECT("cv."&amp;LEFT($U65,6)&amp;".hhv.MJL") * 100</f>
        <v>#REF!</v>
      </c>
      <c r="BC65" s="80" t="e" cm="1">
        <f t="array" aca="1" ref="BC65" ca="1">AO65/INDIRECT("cv."&amp;LEFT($U65,6)&amp;".hhv.MJL") * 100</f>
        <v>#REF!</v>
      </c>
      <c r="BD65" s="80" t="e" cm="1">
        <f t="array" aca="1" ref="BD65" ca="1">AP65/INDIRECT("cv."&amp;LEFT($U65,6)&amp;".hhv.MJL") * 100</f>
        <v>#REF!</v>
      </c>
      <c r="BH65" s="279">
        <f>Analytica!AB33</f>
        <v>0.236416891901715</v>
      </c>
      <c r="BI65" s="284" t="e" cm="1">
        <f t="array" aca="1" ref="BI65" ca="1">(1/BH65)/INDIRECT("cv."&amp;LEFT($U65,6)&amp;".lhv.MJL") * 100</f>
        <v>#REF!</v>
      </c>
    </row>
    <row r="66" spans="1:61" ht="15.75" thickBot="1" x14ac:dyDescent="0.3">
      <c r="A66" s="285" t="s">
        <v>265</v>
      </c>
      <c r="B66" s="286">
        <v>6061</v>
      </c>
      <c r="C66" s="283">
        <f t="shared" si="17"/>
        <v>2.3584611984298195E-3</v>
      </c>
      <c r="N66" s="61" t="s">
        <v>511</v>
      </c>
      <c r="O66" s="61" t="s">
        <v>653</v>
      </c>
      <c r="P66" s="61" t="s">
        <v>63</v>
      </c>
      <c r="Q66" s="61" t="str">
        <f t="shared" si="7"/>
        <v>LCV</v>
      </c>
      <c r="R66" s="61" t="s">
        <v>680</v>
      </c>
      <c r="S66" s="65"/>
      <c r="T66" s="273" t="s">
        <v>701</v>
      </c>
      <c r="U66" s="957" t="s">
        <v>687</v>
      </c>
      <c r="V66" s="965">
        <v>2030</v>
      </c>
      <c r="W66" s="958">
        <f t="shared" si="16"/>
        <v>0</v>
      </c>
      <c r="X66" s="959">
        <f t="shared" si="16"/>
        <v>0</v>
      </c>
      <c r="Y66" s="959">
        <f t="shared" si="16"/>
        <v>0</v>
      </c>
      <c r="Z66" s="959">
        <f t="shared" si="16"/>
        <v>1</v>
      </c>
      <c r="AA66" s="959">
        <f t="shared" si="16"/>
        <v>1</v>
      </c>
      <c r="AB66" s="959">
        <f t="shared" si="16"/>
        <v>1</v>
      </c>
      <c r="AC66" s="960">
        <f t="shared" si="16"/>
        <v>1</v>
      </c>
      <c r="AD66" s="103" cm="1">
        <f t="array" ref="AD66">IF(W66,INDEX('AEA2012 update'!$K$6:$R$104,MATCH($T66&amp;$R66,'AEA2012 update'!$A$6:$A$104&amp;'AEA2012 update'!$B$6:$B$104,0),MATCH(AD$16,'AEA2012 update'!$S$4:$Z$4,0)),INDEX('AEA2012 update'!$K$6:$R$104,MATCH($T66&amp;$U66,'AEA2012 update'!$A$6:$A$104&amp;'AEA2012 update'!$B$6:$B$104,0),MATCH(AD$16,'AEA2012 update'!$S$4:$Z$4,0)))</f>
        <v>449299.91329948109</v>
      </c>
      <c r="AE66" s="103" cm="1">
        <f t="array" ref="AE66">IF(X66,INDEX('AEA2012 update'!$K$6:$R$104,MATCH($T66&amp;$R66,'AEA2012 update'!$A$6:$A$104&amp;'AEA2012 update'!$B$6:$B$104,0),MATCH(AE$16,'AEA2012 update'!$S$4:$Z$4,0)),INDEX('AEA2012 update'!$K$6:$R$104,MATCH($T66&amp;$U66,'AEA2012 update'!$A$6:$A$104&amp;'AEA2012 update'!$B$6:$B$104,0),MATCH(AE$16,'AEA2012 update'!$S$4:$Z$4,0)))</f>
        <v>496024.31464990409</v>
      </c>
      <c r="AF66" s="103" cm="1">
        <f t="array" ref="AF66">IF(Y66,INDEX('AEA2012 update'!$K$6:$R$104,MATCH($T66&amp;$R66,'AEA2012 update'!$A$6:$A$104&amp;'AEA2012 update'!$B$6:$B$104,0),MATCH(AF$16,'AEA2012 update'!$S$4:$Z$4,0)),INDEX('AEA2012 update'!$K$6:$R$104,MATCH($T66&amp;$U66,'AEA2012 update'!$A$6:$A$104&amp;'AEA2012 update'!$B$6:$B$104,0),MATCH(AF$16,'AEA2012 update'!$S$4:$Z$4,0)))</f>
        <v>504862.6389695133</v>
      </c>
      <c r="AG66" s="103" cm="1">
        <f t="array" ref="AG66">IF(Z66,INDEX('AEA2012 update'!$K$6:$R$104,MATCH($T66&amp;$R66,'AEA2012 update'!$A$6:$A$104&amp;'AEA2012 update'!$B$6:$B$104,0),MATCH(AG$16,'AEA2012 update'!$S$4:$Z$4,0)),INDEX('AEA2012 update'!$K$6:$R$104,MATCH($T66&amp;$U66,'AEA2012 update'!$A$6:$A$104&amp;'AEA2012 update'!$B$6:$B$104,0),MATCH(AG$16,'AEA2012 update'!$S$4:$Z$4,0)))</f>
        <v>363561.36717159278</v>
      </c>
      <c r="AH66" s="103" cm="1">
        <f t="array" ref="AH66">IF(AA66,INDEX('AEA2012 update'!$K$6:$R$104,MATCH($T66&amp;$R66,'AEA2012 update'!$A$6:$A$104&amp;'AEA2012 update'!$B$6:$B$104,0),MATCH(AH$16,'AEA2012 update'!$S$4:$Z$4,0)),INDEX('AEA2012 update'!$K$6:$R$104,MATCH($T66&amp;$U66,'AEA2012 update'!$A$6:$A$104&amp;'AEA2012 update'!$B$6:$B$104,0),MATCH(AH$16,'AEA2012 update'!$S$4:$Z$4,0)))</f>
        <v>371500.85823323019</v>
      </c>
      <c r="AI66" s="103" cm="1">
        <f t="array" ref="AI66">IF(AB66,INDEX('AEA2012 update'!$K$6:$R$104,MATCH($T66&amp;$R66,'AEA2012 update'!$A$6:$A$104&amp;'AEA2012 update'!$B$6:$B$104,0),MATCH(AI$16,'AEA2012 update'!$S$4:$Z$4,0)),INDEX('AEA2012 update'!$K$6:$R$104,MATCH($T66&amp;$U66,'AEA2012 update'!$A$6:$A$104&amp;'AEA2012 update'!$B$6:$B$104,0),MATCH(AI$16,'AEA2012 update'!$S$4:$Z$4,0)))</f>
        <v>379440.3492948676</v>
      </c>
      <c r="AJ66" s="103" cm="1">
        <f t="array" ref="AJ66">IF(AC66,INDEX('AEA2012 update'!$K$6:$R$104,MATCH($T66&amp;$R66,'AEA2012 update'!$A$6:$A$104&amp;'AEA2012 update'!$B$6:$B$104,0),MATCH(AJ$16,'AEA2012 update'!$S$4:$Z$4,0)),INDEX('AEA2012 update'!$K$6:$R$104,MATCH($T66&amp;$U66,'AEA2012 update'!$A$6:$A$104&amp;'AEA2012 update'!$B$6:$B$104,0),MATCH(AJ$16,'AEA2012 update'!$S$4:$Z$4,0)))</f>
        <v>387396.22422821133</v>
      </c>
      <c r="AK66" s="103" t="str">
        <f t="shared" si="13"/>
        <v>LCVODS</v>
      </c>
      <c r="AL66" s="67">
        <f>1/INDEX(Analytica!$AA$17:$AE$48,MATCH($AK66,Analytica!$A$17:$A$48,0),MATCH(AL$16,Analytica!$AA$16:$AE$16,0))</f>
        <v>4.2382643969590106</v>
      </c>
      <c r="AM66" s="67">
        <f t="array" ref="AM66">IF($AE$1,AL66*(1+INDEX(AM$1:AM$2,MATCH($O66,$AI$1:$AI$2,0)))^(AM$16-AL$16),INDEX('AEA2012 update'!$AC$6:$AG$104,MATCH($T66&amp;$U66,'AEA2012 update'!$A$6:$A$104&amp;'AEA2012 update'!$B$6:$B$104,0),MATCH(AM$16,'AEA2012 update'!$AC$4:$AG$4,0)))</f>
        <v>4.2255623143230601</v>
      </c>
      <c r="AN66" s="67">
        <f t="array" ref="AN66">IF($AE$1,AM66*(1+INDEX(AN$1:AN$2,MATCH($O66,$AI$1:$AI$2,0)))^(AN$16-AM$16),INDEX('AEA2012 update'!$AC$6:$AG$104,MATCH($T66&amp;$U66,'AEA2012 update'!$A$6:$A$104&amp;'AEA2012 update'!$B$6:$B$104,0),MATCH(AN$16,'AEA2012 update'!$AC$4:$AG$4,0)))</f>
        <v>3.9988248770466241</v>
      </c>
      <c r="AO66" s="67">
        <f t="array" ref="AO66">IF($AE$1,AN66*(1+INDEX(AO$1:AO$2,MATCH($O66,$AI$1:$AI$2,0)))^(AO$16-AN$16),INDEX('AEA2012 update'!$AC$6:$AG$104,MATCH($T66&amp;$U66,'AEA2012 update'!$A$6:$A$104&amp;'AEA2012 update'!$B$6:$B$104,0),MATCH(AO$16,'AEA2012 update'!$AC$4:$AG$4,0)))</f>
        <v>3.6164655399002528</v>
      </c>
      <c r="AP66" s="67">
        <f t="array" ref="AP66">IF($AE$1,AO66*(1+INDEX(AP$1:AP$2,MATCH($O66,$AI$1:$AI$2,0)))^(AP$16-AO$16),INDEX('AEA2012 update'!$AC$6:$AG$104,MATCH($T66&amp;$U66,'AEA2012 update'!$A$6:$A$104&amp;'AEA2012 update'!$B$6:$B$104,0),MATCH(AP$16,'AEA2012 update'!$AC$4:$AG$4,0)))</f>
        <v>3.2706666091728263</v>
      </c>
      <c r="AQ66" s="67"/>
      <c r="AR66" s="274">
        <f t="shared" si="10"/>
        <v>-9.9900033333333066E-4</v>
      </c>
      <c r="AS66" s="274">
        <f t="shared" si="11"/>
        <v>-7.5326913841620409E-3</v>
      </c>
      <c r="AY66" s="61" t="str">
        <f t="shared" si="12"/>
        <v>LCV-ODS</v>
      </c>
      <c r="AZ66" s="80" t="e" cm="1">
        <f t="array" aca="1" ref="AZ66" ca="1">AL66/INDIRECT("cv."&amp;LEFT($U66,6)&amp;".hhv.MJL") * 100</f>
        <v>#REF!</v>
      </c>
      <c r="BA66" s="80" t="e" cm="1">
        <f t="array" aca="1" ref="BA66" ca="1">AM66/INDIRECT("cv."&amp;LEFT($U66,6)&amp;".hhv.MJL") * 100</f>
        <v>#REF!</v>
      </c>
      <c r="BB66" s="80" t="e" cm="1">
        <f t="array" aca="1" ref="BB66" ca="1">AN66/INDIRECT("cv."&amp;LEFT($U66,6)&amp;".hhv.MJL") * 100</f>
        <v>#REF!</v>
      </c>
      <c r="BC66" s="80" t="e" cm="1">
        <f t="array" aca="1" ref="BC66" ca="1">AO66/INDIRECT("cv."&amp;LEFT($U66,6)&amp;".hhv.MJL") * 100</f>
        <v>#REF!</v>
      </c>
      <c r="BD66" s="80" t="e" cm="1">
        <f t="array" aca="1" ref="BD66" ca="1">AP66/INDIRECT("cv."&amp;LEFT($U66,6)&amp;".hhv.MJL") * 100</f>
        <v>#REF!</v>
      </c>
    </row>
    <row r="67" spans="1:61" ht="15.75" thickBot="1" x14ac:dyDescent="0.3">
      <c r="A67" s="285" t="s">
        <v>266</v>
      </c>
      <c r="B67" s="286">
        <v>120270</v>
      </c>
      <c r="C67" s="283">
        <f t="shared" si="17"/>
        <v>4.6799559203952221E-2</v>
      </c>
      <c r="N67" s="61" t="s">
        <v>521</v>
      </c>
      <c r="O67" s="61" t="s">
        <v>653</v>
      </c>
      <c r="P67" s="61" t="s">
        <v>63</v>
      </c>
      <c r="Q67" s="61" t="str">
        <f t="shared" si="7"/>
        <v>LCV</v>
      </c>
      <c r="R67" s="61" t="s">
        <v>680</v>
      </c>
      <c r="S67" s="65"/>
      <c r="T67" s="273" t="s">
        <v>701</v>
      </c>
      <c r="U67" s="957" t="s">
        <v>689</v>
      </c>
      <c r="V67" s="965">
        <v>2035</v>
      </c>
      <c r="W67" s="958">
        <f t="shared" si="16"/>
        <v>0</v>
      </c>
      <c r="X67" s="959">
        <f t="shared" si="16"/>
        <v>0</v>
      </c>
      <c r="Y67" s="959">
        <f t="shared" si="16"/>
        <v>0</v>
      </c>
      <c r="Z67" s="959">
        <f t="shared" si="16"/>
        <v>0</v>
      </c>
      <c r="AA67" s="959">
        <f t="shared" si="16"/>
        <v>1</v>
      </c>
      <c r="AB67" s="959">
        <f t="shared" si="16"/>
        <v>1</v>
      </c>
      <c r="AC67" s="960">
        <f t="shared" si="16"/>
        <v>1</v>
      </c>
      <c r="AD67" s="103" cm="1">
        <f t="array" ref="AD67">IF(W67,INDEX('AEA2012 update'!$K$6:$R$104,MATCH($T67&amp;$R67,'AEA2012 update'!$A$6:$A$104&amp;'AEA2012 update'!$B$6:$B$104,0),MATCH(AD$16,'AEA2012 update'!$S$4:$Z$4,0)),INDEX('AEA2012 update'!$K$6:$R$104,MATCH($T67&amp;$U67,'AEA2012 update'!$A$6:$A$104&amp;'AEA2012 update'!$B$6:$B$104,0),MATCH(AD$16,'AEA2012 update'!$S$4:$Z$4,0)))</f>
        <v>675869.74111494585</v>
      </c>
      <c r="AE67" s="103" cm="1">
        <f t="array" ref="AE67">IF(X67,INDEX('AEA2012 update'!$K$6:$R$104,MATCH($T67&amp;$R67,'AEA2012 update'!$A$6:$A$104&amp;'AEA2012 update'!$B$6:$B$104,0),MATCH(AE$16,'AEA2012 update'!$S$4:$Z$4,0)),INDEX('AEA2012 update'!$K$6:$R$104,MATCH($T67&amp;$U67,'AEA2012 update'!$A$6:$A$104&amp;'AEA2012 update'!$B$6:$B$104,0),MATCH(AE$16,'AEA2012 update'!$S$4:$Z$4,0)))</f>
        <v>667067.18177056045</v>
      </c>
      <c r="AF67" s="103" cm="1">
        <f t="array" ref="AF67">IF(Y67,INDEX('AEA2012 update'!$K$6:$R$104,MATCH($T67&amp;$R67,'AEA2012 update'!$A$6:$A$104&amp;'AEA2012 update'!$B$6:$B$104,0),MATCH(AF$16,'AEA2012 update'!$S$4:$Z$4,0)),INDEX('AEA2012 update'!$K$6:$R$104,MATCH($T67&amp;$U67,'AEA2012 update'!$A$6:$A$104&amp;'AEA2012 update'!$B$6:$B$104,0),MATCH(AF$16,'AEA2012 update'!$S$4:$Z$4,0)))</f>
        <v>662584.61022237549</v>
      </c>
      <c r="AG67" s="103" cm="1">
        <f t="array" ref="AG67">IF(Z67,INDEX('AEA2012 update'!$K$6:$R$104,MATCH($T67&amp;$R67,'AEA2012 update'!$A$6:$A$104&amp;'AEA2012 update'!$B$6:$B$104,0),MATCH(AG$16,'AEA2012 update'!$S$4:$Z$4,0)),INDEX('AEA2012 update'!$K$6:$R$104,MATCH($T67&amp;$U67,'AEA2012 update'!$A$6:$A$104&amp;'AEA2012 update'!$B$6:$B$104,0),MATCH(AG$16,'AEA2012 update'!$S$4:$Z$4,0)))</f>
        <v>658102.03867419052</v>
      </c>
      <c r="AH67" s="103" cm="1">
        <f t="array" ref="AH67">IF(AA67,INDEX('AEA2012 update'!$K$6:$R$104,MATCH($T67&amp;$R67,'AEA2012 update'!$A$6:$A$104&amp;'AEA2012 update'!$B$6:$B$104,0),MATCH(AH$16,'AEA2012 update'!$S$4:$Z$4,0)),INDEX('AEA2012 update'!$K$6:$R$104,MATCH($T67&amp;$U67,'AEA2012 update'!$A$6:$A$104&amp;'AEA2012 update'!$B$6:$B$104,0),MATCH(AH$16,'AEA2012 update'!$S$4:$Z$4,0)))</f>
        <v>371500.85823323019</v>
      </c>
      <c r="AI67" s="103" cm="1">
        <f t="array" ref="AI67">IF(AB67,INDEX('AEA2012 update'!$K$6:$R$104,MATCH($T67&amp;$R67,'AEA2012 update'!$A$6:$A$104&amp;'AEA2012 update'!$B$6:$B$104,0),MATCH(AI$16,'AEA2012 update'!$S$4:$Z$4,0)),INDEX('AEA2012 update'!$K$6:$R$104,MATCH($T67&amp;$U67,'AEA2012 update'!$A$6:$A$104&amp;'AEA2012 update'!$B$6:$B$104,0),MATCH(AI$16,'AEA2012 update'!$S$4:$Z$4,0)))</f>
        <v>379440.3492948676</v>
      </c>
      <c r="AJ67" s="103" cm="1">
        <f t="array" ref="AJ67">IF(AC67,INDEX('AEA2012 update'!$K$6:$R$104,MATCH($T67&amp;$R67,'AEA2012 update'!$A$6:$A$104&amp;'AEA2012 update'!$B$6:$B$104,0),MATCH(AJ$16,'AEA2012 update'!$S$4:$Z$4,0)),INDEX('AEA2012 update'!$K$6:$R$104,MATCH($T67&amp;$U67,'AEA2012 update'!$A$6:$A$104&amp;'AEA2012 update'!$B$6:$B$104,0),MATCH(AJ$16,'AEA2012 update'!$S$4:$Z$4,0)))</f>
        <v>387396.22422821133</v>
      </c>
      <c r="AK67" s="103" t="str">
        <f t="shared" si="13"/>
        <v>LCVODSH</v>
      </c>
      <c r="AL67" s="67">
        <f>INDEX('Vehicle data '!$AD$20:$AD$110,MATCH($AK67,'Vehicle data '!$AC$20:$AC$110,0))/INDEX('Vehicle data '!$AD$20:$AD$110,MATCH($AK$64,'Vehicle data '!$AC$20:$AC$110,0))*AL$64</f>
        <v>4.1325296806540024</v>
      </c>
      <c r="AM67" s="67">
        <f t="array" ref="AM67">IF($AE$1,AL67*(1+INDEX(AM$1:AM$2,MATCH($O67,$AI$1:$AI$2,0)))^(AM$16-AL$16),INDEX('AEA2012 update'!$AC$6:$AG$104,MATCH($T67&amp;$U67,'AEA2012 update'!$A$6:$A$104&amp;'AEA2012 update'!$B$6:$B$104,0),MATCH(AM$16,'AEA2012 update'!$AC$4:$AG$4,0)))</f>
        <v>4.1201444850685522</v>
      </c>
      <c r="AN67" s="67">
        <f t="array" ref="AN67">IF($AE$1,AM67*(1+INDEX(AN$1:AN$2,MATCH($O67,$AI$1:$AI$2,0)))^(AN$16-AM$16),INDEX('AEA2012 update'!$AC$6:$AG$104,MATCH($T67&amp;$U67,'AEA2012 update'!$A$6:$A$104&amp;'AEA2012 update'!$B$6:$B$104,0),MATCH(AN$16,'AEA2012 update'!$AC$4:$AG$4,0)))</f>
        <v>3.8990636129236713</v>
      </c>
      <c r="AO67" s="67">
        <f t="array" ref="AO67">IF($AE$1,AN67*(1+INDEX(AO$1:AO$2,MATCH($O67,$AI$1:$AI$2,0)))^(AO$16-AN$16),INDEX('AEA2012 update'!$AC$6:$AG$104,MATCH($T67&amp;$U67,'AEA2012 update'!$A$6:$A$104&amp;'AEA2012 update'!$B$6:$B$104,0),MATCH(AO$16,'AEA2012 update'!$AC$4:$AG$4,0)))</f>
        <v>3.5262432408472351</v>
      </c>
      <c r="AP67" s="67">
        <f t="array" ref="AP67">IF($AE$1,AO67*(1+INDEX(AP$1:AP$2,MATCH($O67,$AI$1:$AI$2,0)))^(AP$16-AO$16),INDEX('AEA2012 update'!$AC$6:$AG$104,MATCH($T67&amp;$U67,'AEA2012 update'!$A$6:$A$104&amp;'AEA2012 update'!$B$6:$B$104,0),MATCH(AP$16,'AEA2012 update'!$AC$4:$AG$4,0)))</f>
        <v>3.1890711791431934</v>
      </c>
      <c r="AQ67" s="67"/>
      <c r="AR67" s="274">
        <f t="shared" si="10"/>
        <v>-9.9900033333336752E-4</v>
      </c>
      <c r="AS67" s="274">
        <f t="shared" si="11"/>
        <v>-7.5326913841620401E-3</v>
      </c>
      <c r="AY67" s="61" t="str">
        <f t="shared" si="12"/>
        <v>LCV-ODSH</v>
      </c>
      <c r="AZ67" s="80" t="e" cm="1">
        <f t="array" aca="1" ref="AZ67" ca="1">AL67/INDIRECT("cv."&amp;LEFT($U67,6)&amp;".hhv.MJL") * 100</f>
        <v>#REF!</v>
      </c>
      <c r="BA67" s="80" t="e" cm="1">
        <f t="array" aca="1" ref="BA67" ca="1">AM67/INDIRECT("cv."&amp;LEFT($U67,6)&amp;".hhv.MJL") * 100</f>
        <v>#REF!</v>
      </c>
      <c r="BB67" s="80" t="e" cm="1">
        <f t="array" aca="1" ref="BB67" ca="1">AN67/INDIRECT("cv."&amp;LEFT($U67,6)&amp;".hhv.MJL") * 100</f>
        <v>#REF!</v>
      </c>
      <c r="BC67" s="80" t="e" cm="1">
        <f t="array" aca="1" ref="BC67" ca="1">AO67/INDIRECT("cv."&amp;LEFT($U67,6)&amp;".hhv.MJL") * 100</f>
        <v>#REF!</v>
      </c>
      <c r="BD67" s="80" t="e" cm="1">
        <f t="array" aca="1" ref="BD67" ca="1">AP67/INDIRECT("cv."&amp;LEFT($U67,6)&amp;".hhv.MJL") * 100</f>
        <v>#REF!</v>
      </c>
    </row>
    <row r="68" spans="1:61" ht="15.75" thickBot="1" x14ac:dyDescent="0.3">
      <c r="A68" s="285" t="s">
        <v>263</v>
      </c>
      <c r="B68" s="286">
        <v>31074</v>
      </c>
      <c r="C68" s="283">
        <f t="shared" si="17"/>
        <v>1.2091539891108434E-2</v>
      </c>
      <c r="I68"/>
      <c r="N68" s="61" t="s">
        <v>501</v>
      </c>
      <c r="O68" s="61" t="s">
        <v>653</v>
      </c>
      <c r="P68" s="61" t="s">
        <v>63</v>
      </c>
      <c r="Q68" s="61" t="str">
        <f t="shared" si="7"/>
        <v>LCV</v>
      </c>
      <c r="R68" s="61" t="s">
        <v>680</v>
      </c>
      <c r="S68" s="65"/>
      <c r="T68" s="273" t="s">
        <v>701</v>
      </c>
      <c r="U68" s="957" t="s">
        <v>692</v>
      </c>
      <c r="V68" s="965">
        <v>2040</v>
      </c>
      <c r="W68" s="958">
        <f t="shared" si="16"/>
        <v>0</v>
      </c>
      <c r="X68" s="959">
        <f t="shared" si="16"/>
        <v>0</v>
      </c>
      <c r="Y68" s="959">
        <f t="shared" si="16"/>
        <v>0</v>
      </c>
      <c r="Z68" s="959">
        <f t="shared" si="16"/>
        <v>0</v>
      </c>
      <c r="AA68" s="959">
        <f t="shared" si="16"/>
        <v>0</v>
      </c>
      <c r="AB68" s="959">
        <f t="shared" si="16"/>
        <v>1</v>
      </c>
      <c r="AC68" s="960">
        <f t="shared" si="16"/>
        <v>1</v>
      </c>
      <c r="AD68" s="103" cm="1">
        <f t="array" ref="AD68">IF(W68,INDEX('AEA2012 update'!$K$6:$R$104,MATCH($T68&amp;$R68,'AEA2012 update'!$A$6:$A$104&amp;'AEA2012 update'!$B$6:$B$104,0),MATCH(AD$16,'AEA2012 update'!$S$4:$Z$4,0)),INDEX('AEA2012 update'!$K$6:$R$104,MATCH($T68&amp;$U68,'AEA2012 update'!$A$6:$A$104&amp;'AEA2012 update'!$B$6:$B$104,0),MATCH(AD$16,'AEA2012 update'!$S$4:$Z$4,0)))</f>
        <v>1600432.9336289039</v>
      </c>
      <c r="AE68" s="103" cm="1">
        <f t="array" ref="AE68">IF(X68,INDEX('AEA2012 update'!$K$6:$R$104,MATCH($T68&amp;$R68,'AEA2012 update'!$A$6:$A$104&amp;'AEA2012 update'!$B$6:$B$104,0),MATCH(AE$16,'AEA2012 update'!$S$4:$Z$4,0)),INDEX('AEA2012 update'!$K$6:$R$104,MATCH($T68&amp;$U68,'AEA2012 update'!$A$6:$A$104&amp;'AEA2012 update'!$B$6:$B$104,0),MATCH(AE$16,'AEA2012 update'!$S$4:$Z$4,0)))</f>
        <v>1094588.8281386418</v>
      </c>
      <c r="AF68" s="103" cm="1">
        <f t="array" ref="AF68">IF(Y68,INDEX('AEA2012 update'!$K$6:$R$104,MATCH($T68&amp;$R68,'AEA2012 update'!$A$6:$A$104&amp;'AEA2012 update'!$B$6:$B$104,0),MATCH(AF$16,'AEA2012 update'!$S$4:$Z$4,0)),INDEX('AEA2012 update'!$K$6:$R$104,MATCH($T68&amp;$U68,'AEA2012 update'!$A$6:$A$104&amp;'AEA2012 update'!$B$6:$B$104,0),MATCH(AF$16,'AEA2012 update'!$S$4:$Z$4,0)))</f>
        <v>1007085.3648438302</v>
      </c>
      <c r="AG68" s="103" cm="1">
        <f t="array" ref="AG68">IF(Z68,INDEX('AEA2012 update'!$K$6:$R$104,MATCH($T68&amp;$R68,'AEA2012 update'!$A$6:$A$104&amp;'AEA2012 update'!$B$6:$B$104,0),MATCH(AG$16,'AEA2012 update'!$S$4:$Z$4,0)),INDEX('AEA2012 update'!$K$6:$R$104,MATCH($T68&amp;$U68,'AEA2012 update'!$A$6:$A$104&amp;'AEA2012 update'!$B$6:$B$104,0),MATCH(AG$16,'AEA2012 update'!$S$4:$Z$4,0)))</f>
        <v>919581.90154901845</v>
      </c>
      <c r="AH68" s="103" cm="1">
        <f t="array" ref="AH68">IF(AA68,INDEX('AEA2012 update'!$K$6:$R$104,MATCH($T68&amp;$R68,'AEA2012 update'!$A$6:$A$104&amp;'AEA2012 update'!$B$6:$B$104,0),MATCH(AH$16,'AEA2012 update'!$S$4:$Z$4,0)),INDEX('AEA2012 update'!$K$6:$R$104,MATCH($T68&amp;$U68,'AEA2012 update'!$A$6:$A$104&amp;'AEA2012 update'!$B$6:$B$104,0),MATCH(AH$16,'AEA2012 update'!$S$4:$Z$4,0)))</f>
        <v>928701.46574433532</v>
      </c>
      <c r="AI68" s="103" cm="1">
        <f t="array" ref="AI68">IF(AB68,INDEX('AEA2012 update'!$K$6:$R$104,MATCH($T68&amp;$R68,'AEA2012 update'!$A$6:$A$104&amp;'AEA2012 update'!$B$6:$B$104,0),MATCH(AI$16,'AEA2012 update'!$S$4:$Z$4,0)),INDEX('AEA2012 update'!$K$6:$R$104,MATCH($T68&amp;$U68,'AEA2012 update'!$A$6:$A$104&amp;'AEA2012 update'!$B$6:$B$104,0),MATCH(AI$16,'AEA2012 update'!$S$4:$Z$4,0)))</f>
        <v>379440.3492948676</v>
      </c>
      <c r="AJ68" s="103" cm="1">
        <f t="array" ref="AJ68">IF(AC68,INDEX('AEA2012 update'!$K$6:$R$104,MATCH($T68&amp;$R68,'AEA2012 update'!$A$6:$A$104&amp;'AEA2012 update'!$B$6:$B$104,0),MATCH(AJ$16,'AEA2012 update'!$S$4:$Z$4,0)),INDEX('AEA2012 update'!$K$6:$R$104,MATCH($T68&amp;$U68,'AEA2012 update'!$A$6:$A$104&amp;'AEA2012 update'!$B$6:$B$104,0),MATCH(AJ$16,'AEA2012 update'!$S$4:$Z$4,0)))</f>
        <v>387396.22422821133</v>
      </c>
      <c r="AK68" s="103" t="str">
        <f t="shared" si="13"/>
        <v>LCVELC</v>
      </c>
      <c r="AL68" s="67">
        <f>INDEX('Vehicle data '!$AD$20:$AD$110,MATCH($AK68,'Vehicle data '!$AC$20:$AC$110,0))/INDEX('Vehicle data '!$AD$20:$AD$110,MATCH($AK$64,'Vehicle data '!$AC$20:$AC$110,0))*AL$64</f>
        <v>1.2132729033983527</v>
      </c>
      <c r="AM68" s="67">
        <f t="array" ref="AM68">IF($AE$1,AL68*(1+INDEX(AM$1:AM$2,MATCH($O68,$AI$1:$AI$2,0)))^(AM$16-AL$16),INDEX('AEA2012 update'!$AC$6:$AG$104,MATCH($T68&amp;$U68,'AEA2012 update'!$A$6:$A$104&amp;'AEA2012 update'!$B$6:$B$104,0),MATCH(AM$16,'AEA2012 update'!$AC$4:$AG$4,0)))</f>
        <v>1.209636723293595</v>
      </c>
      <c r="AN68" s="67">
        <f t="array" ref="AN68">IF($AE$1,AM68*(1+INDEX(AN$1:AN$2,MATCH($O68,$AI$1:$AI$2,0)))^(AN$16-AM$16),INDEX('AEA2012 update'!$AC$6:$AG$104,MATCH($T68&amp;$U68,'AEA2012 update'!$A$6:$A$104&amp;'AEA2012 update'!$B$6:$B$104,0),MATCH(AN$16,'AEA2012 update'!$AC$4:$AG$4,0)))</f>
        <v>1.1447294020252792</v>
      </c>
      <c r="AO68" s="67">
        <f t="array" ref="AO68">IF($AE$1,AN68*(1+INDEX(AO$1:AO$2,MATCH($O68,$AI$1:$AI$2,0)))^(AO$16-AN$16),INDEX('AEA2012 update'!$AC$6:$AG$104,MATCH($T68&amp;$U68,'AEA2012 update'!$A$6:$A$104&amp;'AEA2012 update'!$B$6:$B$104,0),MATCH(AO$16,'AEA2012 update'!$AC$4:$AG$4,0)))</f>
        <v>1.0352727519272098</v>
      </c>
      <c r="AP68" s="67">
        <f t="array" ref="AP68">IF($AE$1,AO68*(1+INDEX(AP$1:AP$2,MATCH($O68,$AI$1:$AI$2,0)))^(AP$16-AO$16),INDEX('AEA2012 update'!$AC$6:$AG$104,MATCH($T68&amp;$U68,'AEA2012 update'!$A$6:$A$104&amp;'AEA2012 update'!$B$6:$B$104,0),MATCH(AP$16,'AEA2012 update'!$AC$4:$AG$4,0)))</f>
        <v>0.93628211958800511</v>
      </c>
      <c r="AQ68" s="67"/>
      <c r="AR68" s="274">
        <f t="shared" si="10"/>
        <v>-9.9900033333332806E-4</v>
      </c>
      <c r="AS68" s="274">
        <f t="shared" si="11"/>
        <v>-7.5326913841620375E-3</v>
      </c>
      <c r="AY68" s="61" t="str">
        <f t="shared" si="12"/>
        <v>LCV-ELC</v>
      </c>
      <c r="AZ68" s="80" t="e" cm="1">
        <f t="array" aca="1" ref="AZ68" ca="1">AL68/INDIRECT("cv."&amp;LEFT($U68,6)&amp;".hhv.MJL") * 100</f>
        <v>#REF!</v>
      </c>
      <c r="BA68" s="80" t="e" cm="1">
        <f t="array" aca="1" ref="BA68" ca="1">AM68/INDIRECT("cv."&amp;LEFT($U68,6)&amp;".hhv.MJL") * 100</f>
        <v>#REF!</v>
      </c>
      <c r="BB68" s="80" t="e" cm="1">
        <f t="array" aca="1" ref="BB68" ca="1">AN68/INDIRECT("cv."&amp;LEFT($U68,6)&amp;".hhv.MJL") * 100</f>
        <v>#REF!</v>
      </c>
      <c r="BC68" s="80" t="e" cm="1">
        <f t="array" aca="1" ref="BC68" ca="1">AO68/INDIRECT("cv."&amp;LEFT($U68,6)&amp;".hhv.MJL") * 100</f>
        <v>#REF!</v>
      </c>
      <c r="BD68" s="80" t="e" cm="1">
        <f t="array" aca="1" ref="BD68" ca="1">AP68/INDIRECT("cv."&amp;LEFT($U68,6)&amp;".hhv.MJL") * 100</f>
        <v>#REF!</v>
      </c>
    </row>
    <row r="69" spans="1:61" ht="15.75" thickBot="1" x14ac:dyDescent="0.3">
      <c r="A69" s="285" t="s">
        <v>261</v>
      </c>
      <c r="B69" s="286">
        <v>53763</v>
      </c>
      <c r="C69" s="283">
        <f t="shared" si="17"/>
        <v>2.0920301833225935E-2</v>
      </c>
      <c r="N69" s="61" t="s">
        <v>504</v>
      </c>
      <c r="O69" s="61" t="s">
        <v>653</v>
      </c>
      <c r="P69" s="61" t="s">
        <v>63</v>
      </c>
      <c r="Q69" s="61" t="str">
        <f t="shared" si="7"/>
        <v>LCV</v>
      </c>
      <c r="R69" s="61" t="s">
        <v>680</v>
      </c>
      <c r="S69" s="65"/>
      <c r="T69" s="273" t="s">
        <v>701</v>
      </c>
      <c r="U69" s="957" t="s">
        <v>699</v>
      </c>
      <c r="V69" s="965">
        <v>2050</v>
      </c>
      <c r="W69" s="958">
        <f t="shared" ref="W69:AC84" si="18">IF($V69="",0,IF(W$19&gt;=$V69,1,0))</f>
        <v>0</v>
      </c>
      <c r="X69" s="959">
        <f t="shared" si="18"/>
        <v>0</v>
      </c>
      <c r="Y69" s="959">
        <f t="shared" si="18"/>
        <v>0</v>
      </c>
      <c r="Z69" s="959">
        <f t="shared" si="18"/>
        <v>0</v>
      </c>
      <c r="AA69" s="959">
        <f t="shared" si="18"/>
        <v>0</v>
      </c>
      <c r="AB69" s="959">
        <f t="shared" si="18"/>
        <v>0</v>
      </c>
      <c r="AC69" s="960">
        <f t="shared" si="18"/>
        <v>1</v>
      </c>
      <c r="AD69" s="103" cm="1">
        <f t="array" ref="AD69">IF(W69,INDEX('AEA2012 update'!$K$6:$R$104,MATCH($T69&amp;$R69,'AEA2012 update'!$A$6:$A$104&amp;'AEA2012 update'!$B$6:$B$104,0),MATCH(AD$16,'AEA2012 update'!$S$4:$Z$4,0)),INDEX('AEA2012 update'!$K$6:$R$104,MATCH($T69&amp;$U69,'AEA2012 update'!$A$6:$A$104&amp;'AEA2012 update'!$B$6:$B$104,0),MATCH(AD$16,'AEA2012 update'!$S$4:$Z$4,0)))</f>
        <v>4426942.2286890121</v>
      </c>
      <c r="AE69" s="103" cm="1">
        <f t="array" ref="AE69">IF(X69,INDEX('AEA2012 update'!$K$6:$R$104,MATCH($T69&amp;$R69,'AEA2012 update'!$A$6:$A$104&amp;'AEA2012 update'!$B$6:$B$104,0),MATCH(AE$16,'AEA2012 update'!$S$4:$Z$4,0)),INDEX('AEA2012 update'!$K$6:$R$104,MATCH($T69&amp;$U69,'AEA2012 update'!$A$6:$A$104&amp;'AEA2012 update'!$B$6:$B$104,0),MATCH(AE$16,'AEA2012 update'!$S$4:$Z$4,0)))</f>
        <v>1769962.7067509172</v>
      </c>
      <c r="AF69" s="103" cm="1">
        <f t="array" ref="AF69">IF(Y69,INDEX('AEA2012 update'!$K$6:$R$104,MATCH($T69&amp;$R69,'AEA2012 update'!$A$6:$A$104&amp;'AEA2012 update'!$B$6:$B$104,0),MATCH(AF$16,'AEA2012 update'!$S$4:$Z$4,0)),INDEX('AEA2012 update'!$K$6:$R$104,MATCH($T69&amp;$U69,'AEA2012 update'!$A$6:$A$104&amp;'AEA2012 update'!$B$6:$B$104,0),MATCH(AF$16,'AEA2012 update'!$S$4:$Z$4,0)))</f>
        <v>1358748.1529305463</v>
      </c>
      <c r="AG69" s="103" cm="1">
        <f t="array" ref="AG69">IF(Z69,INDEX('AEA2012 update'!$K$6:$R$104,MATCH($T69&amp;$R69,'AEA2012 update'!$A$6:$A$104&amp;'AEA2012 update'!$B$6:$B$104,0),MATCH(AG$16,'AEA2012 update'!$S$4:$Z$4,0)),INDEX('AEA2012 update'!$K$6:$R$104,MATCH($T69&amp;$U69,'AEA2012 update'!$A$6:$A$104&amp;'AEA2012 update'!$B$6:$B$104,0),MATCH(AG$16,'AEA2012 update'!$S$4:$Z$4,0)))</f>
        <v>947533.59911017539</v>
      </c>
      <c r="AH69" s="103" cm="1">
        <f t="array" ref="AH69">IF(AA69,INDEX('AEA2012 update'!$K$6:$R$104,MATCH($T69&amp;$R69,'AEA2012 update'!$A$6:$A$104&amp;'AEA2012 update'!$B$6:$B$104,0),MATCH(AH$16,'AEA2012 update'!$S$4:$Z$4,0)),INDEX('AEA2012 update'!$K$6:$R$104,MATCH($T69&amp;$U69,'AEA2012 update'!$A$6:$A$104&amp;'AEA2012 update'!$B$6:$B$104,0),MATCH(AH$16,'AEA2012 update'!$S$4:$Z$4,0)))</f>
        <v>902309.9582547989</v>
      </c>
      <c r="AI69" s="103" cm="1">
        <f t="array" ref="AI69">IF(AB69,INDEX('AEA2012 update'!$K$6:$R$104,MATCH($T69&amp;$R69,'AEA2012 update'!$A$6:$A$104&amp;'AEA2012 update'!$B$6:$B$104,0),MATCH(AI$16,'AEA2012 update'!$S$4:$Z$4,0)),INDEX('AEA2012 update'!$K$6:$R$104,MATCH($T69&amp;$U69,'AEA2012 update'!$A$6:$A$104&amp;'AEA2012 update'!$B$6:$B$104,0),MATCH(AI$16,'AEA2012 update'!$S$4:$Z$4,0)))</f>
        <v>857086.31739942229</v>
      </c>
      <c r="AJ69" s="103" cm="1">
        <f t="array" ref="AJ69">IF(AC69,INDEX('AEA2012 update'!$K$6:$R$104,MATCH($T69&amp;$R69,'AEA2012 update'!$A$6:$A$104&amp;'AEA2012 update'!$B$6:$B$104,0),MATCH(AJ$16,'AEA2012 update'!$S$4:$Z$4,0)),INDEX('AEA2012 update'!$K$6:$R$104,MATCH($T69&amp;$U69,'AEA2012 update'!$A$6:$A$104&amp;'AEA2012 update'!$B$6:$B$104,0),MATCH(AJ$16,'AEA2012 update'!$S$4:$Z$4,0)))</f>
        <v>387396.22422821133</v>
      </c>
      <c r="AK69" s="103" t="str">
        <f t="shared" si="13"/>
        <v>LCVHGN</v>
      </c>
      <c r="AL69" s="67">
        <f>INDEX('Vehicle data '!$AD$20:$AD$110,MATCH($AK69,'Vehicle data '!$AC$20:$AC$110,0))/INDEX('Vehicle data '!$AD$20:$AD$110,MATCH($AK$64,'Vehicle data '!$AC$20:$AC$110,0))*AL$64</f>
        <v>2.3888839563386695</v>
      </c>
      <c r="AM69" s="67">
        <f t="array" ref="AM69">IF($AE$1,AL69*(1+INDEX(AM$1:AM$2,MATCH($O69,$AI$1:$AI$2,0)))^(AM$16-AL$16),INDEX('AEA2012 update'!$AC$6:$AG$104,MATCH($T69&amp;$U69,'AEA2012 update'!$A$6:$A$104&amp;'AEA2012 update'!$B$6:$B$104,0),MATCH(AM$16,'AEA2012 update'!$AC$4:$AG$4,0)))</f>
        <v>2.3817244687326387</v>
      </c>
      <c r="AN69" s="67">
        <f t="array" ref="AN69">IF($AE$1,AM69*(1+INDEX(AN$1:AN$2,MATCH($O69,$AI$1:$AI$2,0)))^(AN$16-AM$16),INDEX('AEA2012 update'!$AC$6:$AG$104,MATCH($T69&amp;$U69,'AEA2012 update'!$A$6:$A$104&amp;'AEA2012 update'!$B$6:$B$104,0),MATCH(AN$16,'AEA2012 update'!$AC$4:$AG$4,0)))</f>
        <v>2.2539246489291216</v>
      </c>
      <c r="AO69" s="67">
        <f t="array" ref="AO69">IF($AE$1,AN69*(1+INDEX(AO$1:AO$2,MATCH($O69,$AI$1:$AI$2,0)))^(AO$16-AN$16),INDEX('AEA2012 update'!$AC$6:$AG$104,MATCH($T69&amp;$U69,'AEA2012 update'!$A$6:$A$104&amp;'AEA2012 update'!$B$6:$B$104,0),MATCH(AO$16,'AEA2012 update'!$AC$4:$AG$4,0)))</f>
        <v>2.0384090509120099</v>
      </c>
      <c r="AP69" s="67">
        <f t="array" ref="AP69">IF($AE$1,AO69*(1+INDEX(AP$1:AP$2,MATCH($O69,$AI$1:$AI$2,0)))^(AP$16-AO$16),INDEX('AEA2012 update'!$AC$6:$AG$104,MATCH($T69&amp;$U69,'AEA2012 update'!$A$6:$A$104&amp;'AEA2012 update'!$B$6:$B$104,0),MATCH(AP$16,'AEA2012 update'!$AC$4:$AG$4,0)))</f>
        <v>1.8435006071805309</v>
      </c>
      <c r="AQ69" s="67"/>
      <c r="AR69" s="274">
        <f t="shared" si="10"/>
        <v>-9.9900033333331266E-4</v>
      </c>
      <c r="AS69" s="274">
        <f t="shared" si="11"/>
        <v>-7.5326913841620401E-3</v>
      </c>
      <c r="AY69" s="61" t="str">
        <f t="shared" si="12"/>
        <v>LCV-HGN</v>
      </c>
      <c r="AZ69" s="80" t="e" cm="1">
        <f t="array" aca="1" ref="AZ69" ca="1">AL69/INDIRECT("cv."&amp;LEFT($U69,6)&amp;".hhv.MJL") * 100</f>
        <v>#REF!</v>
      </c>
      <c r="BA69" s="80" t="e" cm="1">
        <f t="array" aca="1" ref="BA69" ca="1">AM69/INDIRECT("cv."&amp;LEFT($U69,6)&amp;".hhv.MJL") * 100</f>
        <v>#REF!</v>
      </c>
      <c r="BB69" s="80" t="e" cm="1">
        <f t="array" aca="1" ref="BB69" ca="1">AN69/INDIRECT("cv."&amp;LEFT($U69,6)&amp;".hhv.MJL") * 100</f>
        <v>#REF!</v>
      </c>
      <c r="BC69" s="80" t="e" cm="1">
        <f t="array" aca="1" ref="BC69" ca="1">AO69/INDIRECT("cv."&amp;LEFT($U69,6)&amp;".hhv.MJL") * 100</f>
        <v>#REF!</v>
      </c>
      <c r="BD69" s="80" t="e" cm="1">
        <f t="array" aca="1" ref="BD69" ca="1">AP69/INDIRECT("cv."&amp;LEFT($U69,6)&amp;".hhv.MJL") * 100</f>
        <v>#REF!</v>
      </c>
    </row>
    <row r="70" spans="1:61" ht="15.75" thickBot="1" x14ac:dyDescent="0.3">
      <c r="A70" s="285" t="s">
        <v>259</v>
      </c>
      <c r="B70" s="286">
        <v>12249</v>
      </c>
      <c r="C70" s="283">
        <f t="shared" si="17"/>
        <v>4.7663407390804921E-3</v>
      </c>
      <c r="N70" s="61" t="s">
        <v>509</v>
      </c>
      <c r="O70" s="61" t="s">
        <v>653</v>
      </c>
      <c r="P70" s="61" t="s">
        <v>63</v>
      </c>
      <c r="Q70" s="61" t="str">
        <f t="shared" si="7"/>
        <v>LCV</v>
      </c>
      <c r="R70" s="61" t="s">
        <v>680</v>
      </c>
      <c r="S70" s="65"/>
      <c r="T70" s="273" t="s">
        <v>701</v>
      </c>
      <c r="U70" s="957" t="s">
        <v>700</v>
      </c>
      <c r="V70" s="965"/>
      <c r="W70" s="958">
        <f t="shared" si="18"/>
        <v>0</v>
      </c>
      <c r="X70" s="959">
        <f t="shared" si="18"/>
        <v>0</v>
      </c>
      <c r="Y70" s="959">
        <f t="shared" si="18"/>
        <v>0</v>
      </c>
      <c r="Z70" s="959">
        <f t="shared" si="18"/>
        <v>0</v>
      </c>
      <c r="AA70" s="959">
        <f t="shared" si="18"/>
        <v>0</v>
      </c>
      <c r="AB70" s="959">
        <f t="shared" si="18"/>
        <v>0</v>
      </c>
      <c r="AC70" s="960">
        <f t="shared" si="18"/>
        <v>0</v>
      </c>
      <c r="AD70" s="103" cm="1">
        <f t="array" ref="AD70">IF(W70,INDEX('AEA2012 update'!$K$6:$R$104,MATCH($T70&amp;$R70,'AEA2012 update'!$A$6:$A$104&amp;'AEA2012 update'!$B$6:$B$104,0),MATCH(AD$16,'AEA2012 update'!$S$4:$Z$4,0)),INDEX('AEA2012 update'!$K$6:$R$104,MATCH($T70&amp;$U70,'AEA2012 update'!$A$6:$A$104&amp;'AEA2012 update'!$B$6:$B$104,0),MATCH(AD$16,'AEA2012 update'!$S$4:$Z$4,0)))</f>
        <v>519120.41439989489</v>
      </c>
      <c r="AE70" s="103" cm="1">
        <f t="array" ref="AE70">IF(X70,INDEX('AEA2012 update'!$K$6:$R$104,MATCH($T70&amp;$R70,'AEA2012 update'!$A$6:$A$104&amp;'AEA2012 update'!$B$6:$B$104,0),MATCH(AE$16,'AEA2012 update'!$S$4:$Z$4,0)),INDEX('AEA2012 update'!$K$6:$R$104,MATCH($T70&amp;$U70,'AEA2012 update'!$A$6:$A$104&amp;'AEA2012 update'!$B$6:$B$104,0),MATCH(AE$16,'AEA2012 update'!$S$4:$Z$4,0)))</f>
        <v>545626.74611489451</v>
      </c>
      <c r="AF70" s="103" cm="1">
        <f t="array" ref="AF70">IF(Y70,INDEX('AEA2012 update'!$K$6:$R$104,MATCH($T70&amp;$R70,'AEA2012 update'!$A$6:$A$104&amp;'AEA2012 update'!$B$6:$B$104,0),MATCH(AF$16,'AEA2012 update'!$S$4:$Z$4,0)),INDEX('AEA2012 update'!$K$6:$R$104,MATCH($T70&amp;$U70,'AEA2012 update'!$A$6:$A$104&amp;'AEA2012 update'!$B$6:$B$104,0),MATCH(AF$16,'AEA2012 update'!$S$4:$Z$4,0)))</f>
        <v>551370.12411759188</v>
      </c>
      <c r="AG70" s="103" cm="1">
        <f t="array" ref="AG70">IF(Z70,INDEX('AEA2012 update'!$K$6:$R$104,MATCH($T70&amp;$R70,'AEA2012 update'!$A$6:$A$104&amp;'AEA2012 update'!$B$6:$B$104,0),MATCH(AG$16,'AEA2012 update'!$S$4:$Z$4,0)),INDEX('AEA2012 update'!$K$6:$R$104,MATCH($T70&amp;$U70,'AEA2012 update'!$A$6:$A$104&amp;'AEA2012 update'!$B$6:$B$104,0),MATCH(AG$16,'AEA2012 update'!$S$4:$Z$4,0)))</f>
        <v>557113.50212028937</v>
      </c>
      <c r="AH70" s="103" cm="1">
        <f t="array" ref="AH70">IF(AA70,INDEX('AEA2012 update'!$K$6:$R$104,MATCH($T70&amp;$R70,'AEA2012 update'!$A$6:$A$104&amp;'AEA2012 update'!$B$6:$B$104,0),MATCH(AH$16,'AEA2012 update'!$S$4:$Z$4,0)),INDEX('AEA2012 update'!$K$6:$R$104,MATCH($T70&amp;$U70,'AEA2012 update'!$A$6:$A$104&amp;'AEA2012 update'!$B$6:$B$104,0),MATCH(AH$16,'AEA2012 update'!$S$4:$Z$4,0)))</f>
        <v>565345.03849646868</v>
      </c>
      <c r="AI70" s="103" cm="1">
        <f t="array" ref="AI70">IF(AB70,INDEX('AEA2012 update'!$K$6:$R$104,MATCH($T70&amp;$R70,'AEA2012 update'!$A$6:$A$104&amp;'AEA2012 update'!$B$6:$B$104,0),MATCH(AI$16,'AEA2012 update'!$S$4:$Z$4,0)),INDEX('AEA2012 update'!$K$6:$R$104,MATCH($T70&amp;$U70,'AEA2012 update'!$A$6:$A$104&amp;'AEA2012 update'!$B$6:$B$104,0),MATCH(AI$16,'AEA2012 update'!$S$4:$Z$4,0)))</f>
        <v>573576.57487264799</v>
      </c>
      <c r="AJ70" s="103" cm="1">
        <f t="array" ref="AJ70">IF(AC70,INDEX('AEA2012 update'!$K$6:$R$104,MATCH($T70&amp;$R70,'AEA2012 update'!$A$6:$A$104&amp;'AEA2012 update'!$B$6:$B$104,0),MATCH(AJ$16,'AEA2012 update'!$S$4:$Z$4,0)),INDEX('AEA2012 update'!$K$6:$R$104,MATCH($T70&amp;$U70,'AEA2012 update'!$A$6:$A$104&amp;'AEA2012 update'!$B$6:$B$104,0),MATCH(AJ$16,'AEA2012 update'!$S$4:$Z$4,0)))</f>
        <v>580795.72210982675</v>
      </c>
      <c r="AK70" s="103" t="str">
        <f t="shared" si="13"/>
        <v>LCVGAS</v>
      </c>
      <c r="AL70" s="67">
        <f>INDEX('Vehicle data '!$AD$20:$AD$110,MATCH($AK70,'Vehicle data '!$AC$20:$AC$110,0))/INDEX('Vehicle data '!$AD$20:$AD$110,MATCH($AK$64,'Vehicle data '!$AC$20:$AC$110,0))*AL$64</f>
        <v>5.6887085731586442</v>
      </c>
      <c r="AM70" s="67">
        <f t="array" ref="AM70">IF($AE$1,AL70*(1+INDEX(AM$1:AM$2,MATCH($O70,$AI$1:$AI$2,0)))^(AM$16-AL$16),INDEX('AEA2012 update'!$AC$6:$AG$104,MATCH($T70&amp;$U70,'AEA2012 update'!$A$6:$A$104&amp;'AEA2012 update'!$B$6:$B$104,0),MATCH(AM$16,'AEA2012 update'!$AC$4:$AG$4,0)))</f>
        <v>5.6716595078761793</v>
      </c>
      <c r="AN70" s="67">
        <f t="array" ref="AN70">IF($AE$1,AM70*(1+INDEX(AN$1:AN$2,MATCH($O70,$AI$1:$AI$2,0)))^(AN$16-AM$16),INDEX('AEA2012 update'!$AC$6:$AG$104,MATCH($T70&amp;$U70,'AEA2012 update'!$A$6:$A$104&amp;'AEA2012 update'!$B$6:$B$104,0),MATCH(AN$16,'AEA2012 update'!$AC$4:$AG$4,0)))</f>
        <v>5.3673266294894617</v>
      </c>
      <c r="AO70" s="67">
        <f t="array" ref="AO70">IF($AE$1,AN70*(1+INDEX(AO$1:AO$2,MATCH($O70,$AI$1:$AI$2,0)))^(AO$16-AN$16),INDEX('AEA2012 update'!$AC$6:$AG$104,MATCH($T70&amp;$U70,'AEA2012 update'!$A$6:$A$104&amp;'AEA2012 update'!$B$6:$B$104,0),MATCH(AO$16,'AEA2012 update'!$AC$4:$AG$4,0)))</f>
        <v>4.8541139944276912</v>
      </c>
      <c r="AP70" s="67">
        <f t="array" ref="AP70">IF($AE$1,AO70*(1+INDEX(AP$1:AP$2,MATCH($O70,$AI$1:$AI$2,0)))^(AP$16-AO$16),INDEX('AEA2012 update'!$AC$6:$AG$104,MATCH($T70&amp;$U70,'AEA2012 update'!$A$6:$A$104&amp;'AEA2012 update'!$B$6:$B$104,0),MATCH(AP$16,'AEA2012 update'!$AC$4:$AG$4,0)))</f>
        <v>4.3899736866097907</v>
      </c>
      <c r="AQ70" s="67"/>
      <c r="AR70" s="274">
        <f t="shared" si="10"/>
        <v>-9.9900033333332329E-4</v>
      </c>
      <c r="AS70" s="274">
        <f t="shared" si="11"/>
        <v>-7.5326913841620418E-3</v>
      </c>
      <c r="AY70" s="61" t="str">
        <f t="shared" si="12"/>
        <v>LCV-GAS</v>
      </c>
      <c r="AZ70" s="80" t="e" cm="1">
        <f t="array" aca="1" ref="AZ70" ca="1">AL70/INDIRECT("cv."&amp;LEFT($U70,6)&amp;".hhv.MJL") * 100</f>
        <v>#REF!</v>
      </c>
      <c r="BA70" s="80" t="e" cm="1">
        <f t="array" aca="1" ref="BA70" ca="1">AM70/INDIRECT("cv."&amp;LEFT($U70,6)&amp;".hhv.MJL") * 100</f>
        <v>#REF!</v>
      </c>
      <c r="BB70" s="80" t="e" cm="1">
        <f t="array" aca="1" ref="BB70" ca="1">AN70/INDIRECT("cv."&amp;LEFT($U70,6)&amp;".hhv.MJL") * 100</f>
        <v>#REF!</v>
      </c>
      <c r="BC70" s="80" t="e" cm="1">
        <f t="array" aca="1" ref="BC70" ca="1">AO70/INDIRECT("cv."&amp;LEFT($U70,6)&amp;".hhv.MJL") * 100</f>
        <v>#REF!</v>
      </c>
      <c r="BD70" s="80" t="e" cm="1">
        <f t="array" aca="1" ref="BD70" ca="1">AP70/INDIRECT("cv."&amp;LEFT($U70,6)&amp;".hhv.MJL") * 100</f>
        <v>#REF!</v>
      </c>
    </row>
    <row r="71" spans="1:61" ht="15.75" thickBot="1" x14ac:dyDescent="0.3">
      <c r="A71" s="285" t="s">
        <v>257</v>
      </c>
      <c r="B71" s="286">
        <v>5146</v>
      </c>
      <c r="C71" s="283">
        <f t="shared" si="17"/>
        <v>2.0024156619567485E-3</v>
      </c>
      <c r="O71" s="61" t="s">
        <v>653</v>
      </c>
      <c r="Q71" s="61" t="str">
        <f t="shared" si="7"/>
        <v/>
      </c>
      <c r="S71" s="65"/>
      <c r="T71" s="273"/>
      <c r="U71" s="277"/>
      <c r="V71" s="965"/>
      <c r="W71" s="958">
        <f t="shared" si="18"/>
        <v>0</v>
      </c>
      <c r="X71" s="959">
        <f t="shared" si="18"/>
        <v>0</v>
      </c>
      <c r="Y71" s="959">
        <f t="shared" si="18"/>
        <v>0</v>
      </c>
      <c r="Z71" s="959">
        <f t="shared" si="18"/>
        <v>0</v>
      </c>
      <c r="AA71" s="959">
        <f t="shared" si="18"/>
        <v>0</v>
      </c>
      <c r="AB71" s="959">
        <f t="shared" si="18"/>
        <v>0</v>
      </c>
      <c r="AC71" s="960">
        <f t="shared" si="18"/>
        <v>0</v>
      </c>
      <c r="AD71" s="103" t="e" cm="1">
        <f t="array" ref="AD71">IF(W71,INDEX('AEA2012 update'!$K$6:$R$104,MATCH($T71&amp;$R71,'AEA2012 update'!$A$6:$A$104&amp;'AEA2012 update'!$B$6:$B$104,0),MATCH(AD$16,'AEA2012 update'!$S$4:$Z$4,0)),INDEX('AEA2012 update'!$K$6:$R$104,MATCH($T71&amp;$U71,'AEA2012 update'!$A$6:$A$104&amp;'AEA2012 update'!$B$6:$B$104,0),MATCH(AD$16,'AEA2012 update'!$S$4:$Z$4,0)))</f>
        <v>#N/A</v>
      </c>
      <c r="AE71" s="103" t="e" cm="1">
        <f t="array" ref="AE71">IF(X71,INDEX('AEA2012 update'!$K$6:$R$104,MATCH($T71&amp;$R71,'AEA2012 update'!$A$6:$A$104&amp;'AEA2012 update'!$B$6:$B$104,0),MATCH(AE$16,'AEA2012 update'!$S$4:$Z$4,0)),INDEX('AEA2012 update'!$K$6:$R$104,MATCH($T71&amp;$U71,'AEA2012 update'!$A$6:$A$104&amp;'AEA2012 update'!$B$6:$B$104,0),MATCH(AE$16,'AEA2012 update'!$S$4:$Z$4,0)))</f>
        <v>#N/A</v>
      </c>
      <c r="AF71" s="103" t="e" cm="1">
        <f t="array" ref="AF71">IF(Y71,INDEX('AEA2012 update'!$K$6:$R$104,MATCH($T71&amp;$R71,'AEA2012 update'!$A$6:$A$104&amp;'AEA2012 update'!$B$6:$B$104,0),MATCH(AF$16,'AEA2012 update'!$S$4:$Z$4,0)),INDEX('AEA2012 update'!$K$6:$R$104,MATCH($T71&amp;$U71,'AEA2012 update'!$A$6:$A$104&amp;'AEA2012 update'!$B$6:$B$104,0),MATCH(AF$16,'AEA2012 update'!$S$4:$Z$4,0)))</f>
        <v>#N/A</v>
      </c>
      <c r="AG71" s="103" t="e" cm="1">
        <f t="array" ref="AG71">IF(Z71,INDEX('AEA2012 update'!$K$6:$R$104,MATCH($T71&amp;$R71,'AEA2012 update'!$A$6:$A$104&amp;'AEA2012 update'!$B$6:$B$104,0),MATCH(AG$16,'AEA2012 update'!$S$4:$Z$4,0)),INDEX('AEA2012 update'!$K$6:$R$104,MATCH($T71&amp;$U71,'AEA2012 update'!$A$6:$A$104&amp;'AEA2012 update'!$B$6:$B$104,0),MATCH(AG$16,'AEA2012 update'!$S$4:$Z$4,0)))</f>
        <v>#N/A</v>
      </c>
      <c r="AH71" s="103" t="e" cm="1">
        <f t="array" ref="AH71">IF(AA71,INDEX('AEA2012 update'!$K$6:$R$104,MATCH($T71&amp;$R71,'AEA2012 update'!$A$6:$A$104&amp;'AEA2012 update'!$B$6:$B$104,0),MATCH(AH$16,'AEA2012 update'!$S$4:$Z$4,0)),INDEX('AEA2012 update'!$K$6:$R$104,MATCH($T71&amp;$U71,'AEA2012 update'!$A$6:$A$104&amp;'AEA2012 update'!$B$6:$B$104,0),MATCH(AH$16,'AEA2012 update'!$S$4:$Z$4,0)))</f>
        <v>#N/A</v>
      </c>
      <c r="AI71" s="103" t="e" cm="1">
        <f t="array" ref="AI71">IF(AB71,INDEX('AEA2012 update'!$K$6:$R$104,MATCH($T71&amp;$R71,'AEA2012 update'!$A$6:$A$104&amp;'AEA2012 update'!$B$6:$B$104,0),MATCH(AI$16,'AEA2012 update'!$S$4:$Z$4,0)),INDEX('AEA2012 update'!$K$6:$R$104,MATCH($T71&amp;$U71,'AEA2012 update'!$A$6:$A$104&amp;'AEA2012 update'!$B$6:$B$104,0),MATCH(AI$16,'AEA2012 update'!$S$4:$Z$4,0)))</f>
        <v>#N/A</v>
      </c>
      <c r="AJ71" s="103" t="e" cm="1">
        <f t="array" ref="AJ71">IF(AC71,INDEX('AEA2012 update'!$K$6:$R$104,MATCH($T71&amp;$R71,'AEA2012 update'!$A$6:$A$104&amp;'AEA2012 update'!$B$6:$B$104,0),MATCH(AJ$16,'AEA2012 update'!$S$4:$Z$4,0)),INDEX('AEA2012 update'!$K$6:$R$104,MATCH($T71&amp;$U71,'AEA2012 update'!$A$6:$A$104&amp;'AEA2012 update'!$B$6:$B$104,0),MATCH(AJ$16,'AEA2012 update'!$S$4:$Z$4,0)))</f>
        <v>#N/A</v>
      </c>
      <c r="AK71" s="103" t="str">
        <f t="shared" si="13"/>
        <v/>
      </c>
      <c r="AL71" s="67" t="e">
        <f>1/INDEX(Analytica!$AA$17:$AE$48,MATCH($AK71,Analytica!$A$17:$A$48,0),MATCH(AL$16,Analytica!$AA$16:$AE$16,0))</f>
        <v>#N/A</v>
      </c>
      <c r="AM71" s="67" t="e">
        <f t="array" ref="AM71">IF($AE$1,AL71*(1+INDEX(AM$1:AM$2,MATCH($O71,$AI$1:$AI$2,0)))^(AM$16-AL$16),INDEX('AEA2012 update'!$AC$6:$AG$104,MATCH($T71&amp;$U71,'AEA2012 update'!$A$6:$A$104&amp;'AEA2012 update'!$B$6:$B$104,0),MATCH(AM$16,'AEA2012 update'!$AC$4:$AG$4,0)))</f>
        <v>#N/A</v>
      </c>
      <c r="AN71" s="67" t="e">
        <f t="array" ref="AN71">IF($AE$1,AM71*(1+INDEX(AN$1:AN$2,MATCH($O71,$AI$1:$AI$2,0)))^(AN$16-AM$16),INDEX('AEA2012 update'!$AC$6:$AG$104,MATCH($T71&amp;$U71,'AEA2012 update'!$A$6:$A$104&amp;'AEA2012 update'!$B$6:$B$104,0),MATCH(AN$16,'AEA2012 update'!$AC$4:$AG$4,0)))</f>
        <v>#N/A</v>
      </c>
      <c r="AO71" s="67" t="e">
        <f t="array" ref="AO71">IF($AE$1,AN71*(1+INDEX(AO$1:AO$2,MATCH($O71,$AI$1:$AI$2,0)))^(AO$16-AN$16),INDEX('AEA2012 update'!$AC$6:$AG$104,MATCH($T71&amp;$U71,'AEA2012 update'!$A$6:$A$104&amp;'AEA2012 update'!$B$6:$B$104,0),MATCH(AO$16,'AEA2012 update'!$AC$4:$AG$4,0)))</f>
        <v>#N/A</v>
      </c>
      <c r="AP71" s="67" t="e">
        <f t="array" ref="AP71">IF($AE$1,AO71*(1+INDEX(AP$1:AP$2,MATCH($O71,$AI$1:$AI$2,0)))^(AP$16-AO$16),INDEX('AEA2012 update'!$AC$6:$AG$104,MATCH($T71&amp;$U71,'AEA2012 update'!$A$6:$A$104&amp;'AEA2012 update'!$B$6:$B$104,0),MATCH(AP$16,'AEA2012 update'!$AC$4:$AG$4,0)))</f>
        <v>#N/A</v>
      </c>
      <c r="AQ71" s="67"/>
      <c r="AR71" s="274" t="e">
        <f t="shared" si="10"/>
        <v>#N/A</v>
      </c>
      <c r="AS71" s="274" t="e">
        <f t="shared" si="11"/>
        <v>#N/A</v>
      </c>
      <c r="AY71" s="61" t="str">
        <f t="shared" si="12"/>
        <v>-</v>
      </c>
      <c r="AZ71" s="80" t="e" cm="1">
        <f t="array" aca="1" ref="AZ71" ca="1">AL71/INDIRECT("cv."&amp;LEFT($U71,6)&amp;".hhv.MJL") * 100</f>
        <v>#N/A</v>
      </c>
      <c r="BA71" s="80" t="e" cm="1">
        <f t="array" aca="1" ref="BA71" ca="1">AM71/INDIRECT("cv."&amp;LEFT($U71,6)&amp;".hhv.MJL") * 100</f>
        <v>#N/A</v>
      </c>
      <c r="BB71" s="80" t="e" cm="1">
        <f t="array" aca="1" ref="BB71" ca="1">AN71/INDIRECT("cv."&amp;LEFT($U71,6)&amp;".hhv.MJL") * 100</f>
        <v>#N/A</v>
      </c>
      <c r="BC71" s="80" t="e" cm="1">
        <f t="array" aca="1" ref="BC71" ca="1">AO71/INDIRECT("cv."&amp;LEFT($U71,6)&amp;".hhv.MJL") * 100</f>
        <v>#N/A</v>
      </c>
      <c r="BD71" s="80" t="e" cm="1">
        <f t="array" aca="1" ref="BD71" ca="1">AP71/INDIRECT("cv."&amp;LEFT($U71,6)&amp;".hhv.MJL") * 100</f>
        <v>#N/A</v>
      </c>
    </row>
    <row r="72" spans="1:61" ht="15.75" thickBot="1" x14ac:dyDescent="0.3">
      <c r="A72" s="285" t="s">
        <v>255</v>
      </c>
      <c r="B72" s="286">
        <v>74175</v>
      </c>
      <c r="C72" s="283">
        <f t="shared" si="17"/>
        <v>2.8863035702612089E-2</v>
      </c>
      <c r="N72" s="61" t="s">
        <v>511</v>
      </c>
      <c r="O72" s="61" t="s">
        <v>653</v>
      </c>
      <c r="P72" s="61" t="s">
        <v>724</v>
      </c>
      <c r="Q72" s="61" t="str">
        <f t="shared" si="7"/>
        <v>CV1</v>
      </c>
      <c r="R72" s="61" t="s">
        <v>687</v>
      </c>
      <c r="S72" s="65"/>
      <c r="T72" s="273" t="s">
        <v>725</v>
      </c>
      <c r="U72" s="957" t="s">
        <v>687</v>
      </c>
      <c r="V72" s="965"/>
      <c r="W72" s="958">
        <f t="shared" si="18"/>
        <v>0</v>
      </c>
      <c r="X72" s="959">
        <f t="shared" si="18"/>
        <v>0</v>
      </c>
      <c r="Y72" s="959">
        <f t="shared" si="18"/>
        <v>0</v>
      </c>
      <c r="Z72" s="959">
        <f t="shared" si="18"/>
        <v>0</v>
      </c>
      <c r="AA72" s="959">
        <f t="shared" si="18"/>
        <v>0</v>
      </c>
      <c r="AB72" s="959">
        <f t="shared" si="18"/>
        <v>0</v>
      </c>
      <c r="AC72" s="960">
        <f t="shared" si="18"/>
        <v>0</v>
      </c>
      <c r="AD72" s="103" cm="1">
        <f t="array" ref="AD72">IF(W72,INDEX('AEA2012 update'!$K$6:$R$104,MATCH($T72&amp;$R72,'AEA2012 update'!$A$6:$A$104&amp;'AEA2012 update'!$B$6:$B$104,0),MATCH(AD$16,'AEA2012 update'!$S$4:$Z$4,0)),INDEX('AEA2012 update'!$K$6:$R$104,MATCH($T72&amp;$U72,'AEA2012 update'!$A$6:$A$104&amp;'AEA2012 update'!$B$6:$B$104,0),MATCH(AD$16,'AEA2012 update'!$S$4:$Z$4,0)))</f>
        <v>396204.1631410002</v>
      </c>
      <c r="AE72" s="103" cm="1">
        <f t="array" ref="AE72">IF(X72,INDEX('AEA2012 update'!$K$6:$R$104,MATCH($T72&amp;$R72,'AEA2012 update'!$A$6:$A$104&amp;'AEA2012 update'!$B$6:$B$104,0),MATCH(AE$16,'AEA2012 update'!$S$4:$Z$4,0)),INDEX('AEA2012 update'!$K$6:$R$104,MATCH($T72&amp;$U72,'AEA2012 update'!$A$6:$A$104&amp;'AEA2012 update'!$B$6:$B$104,0),MATCH(AE$16,'AEA2012 update'!$S$4:$Z$4,0)))</f>
        <v>476747.78352540621</v>
      </c>
      <c r="AF72" s="103" cm="1">
        <f t="array" ref="AF72">IF(Y72,INDEX('AEA2012 update'!$K$6:$R$104,MATCH($T72&amp;$R72,'AEA2012 update'!$A$6:$A$104&amp;'AEA2012 update'!$B$6:$B$104,0),MATCH(AF$16,'AEA2012 update'!$S$4:$Z$4,0)),INDEX('AEA2012 update'!$K$6:$R$104,MATCH($T72&amp;$U72,'AEA2012 update'!$A$6:$A$104&amp;'AEA2012 update'!$B$6:$B$104,0),MATCH(AF$16,'AEA2012 update'!$S$4:$Z$4,0)))</f>
        <v>491831.97524024436</v>
      </c>
      <c r="AG72" s="103" cm="1">
        <f t="array" ref="AG72">IF(Z72,INDEX('AEA2012 update'!$K$6:$R$104,MATCH($T72&amp;$R72,'AEA2012 update'!$A$6:$A$104&amp;'AEA2012 update'!$B$6:$B$104,0),MATCH(AG$16,'AEA2012 update'!$S$4:$Z$4,0)),INDEX('AEA2012 update'!$K$6:$R$104,MATCH($T72&amp;$U72,'AEA2012 update'!$A$6:$A$104&amp;'AEA2012 update'!$B$6:$B$104,0),MATCH(AG$16,'AEA2012 update'!$S$4:$Z$4,0)))</f>
        <v>506916.16695508256</v>
      </c>
      <c r="AH72" s="103" cm="1">
        <f t="array" ref="AH72">IF(AA72,INDEX('AEA2012 update'!$K$6:$R$104,MATCH($T72&amp;$R72,'AEA2012 update'!$A$6:$A$104&amp;'AEA2012 update'!$B$6:$B$104,0),MATCH(AH$16,'AEA2012 update'!$S$4:$Z$4,0)),INDEX('AEA2012 update'!$K$6:$R$104,MATCH($T72&amp;$U72,'AEA2012 update'!$A$6:$A$104&amp;'AEA2012 update'!$B$6:$B$104,0),MATCH(AH$16,'AEA2012 update'!$S$4:$Z$4,0)))</f>
        <v>520424.31194208184</v>
      </c>
      <c r="AI72" s="103" cm="1">
        <f t="array" ref="AI72">IF(AB72,INDEX('AEA2012 update'!$K$6:$R$104,MATCH($T72&amp;$R72,'AEA2012 update'!$A$6:$A$104&amp;'AEA2012 update'!$B$6:$B$104,0),MATCH(AI$16,'AEA2012 update'!$S$4:$Z$4,0)),INDEX('AEA2012 update'!$K$6:$R$104,MATCH($T72&amp;$U72,'AEA2012 update'!$A$6:$A$104&amp;'AEA2012 update'!$B$6:$B$104,0),MATCH(AI$16,'AEA2012 update'!$S$4:$Z$4,0)))</f>
        <v>533932.45692908112</v>
      </c>
      <c r="AJ72" s="103" cm="1">
        <f t="array" ref="AJ72">IF(AC72,INDEX('AEA2012 update'!$K$6:$R$104,MATCH($T72&amp;$R72,'AEA2012 update'!$A$6:$A$104&amp;'AEA2012 update'!$B$6:$B$104,0),MATCH(AJ$16,'AEA2012 update'!$S$4:$Z$4,0)),INDEX('AEA2012 update'!$K$6:$R$104,MATCH($T72&amp;$U72,'AEA2012 update'!$A$6:$A$104&amp;'AEA2012 update'!$B$6:$B$104,0),MATCH(AJ$16,'AEA2012 update'!$S$4:$Z$4,0)))</f>
        <v>551671.18115070788</v>
      </c>
      <c r="AK72" s="103" t="str">
        <f t="shared" si="13"/>
        <v>CV1ODS</v>
      </c>
      <c r="AL72" s="67">
        <f>1/INDEX(Analytica!$AA$17:$AE$48,MATCH($AK72,Analytica!$A$17:$A$48,0),MATCH(AL$16,Analytica!$AA$16:$AE$16,0))</f>
        <v>5.8711571257638555</v>
      </c>
      <c r="AM72" s="67">
        <f t="array" ref="AM72">IF($AE$1,AL72*(1+INDEX(AM$1:AM$2,MATCH($O72,$AI$1:$AI$2,0)))^(AM$16-AL$16),INDEX('AEA2012 update'!$AC$6:$AG$104,MATCH($T72&amp;$U72,'AEA2012 update'!$A$6:$A$104&amp;'AEA2012 update'!$B$6:$B$104,0),MATCH(AM$16,'AEA2012 update'!$AC$4:$AG$4,0)))</f>
        <v>5.8535612619867843</v>
      </c>
      <c r="AN72" s="67">
        <f t="array" ref="AN72">IF($AE$1,AM72*(1+INDEX(AN$1:AN$2,MATCH($O72,$AI$1:$AI$2,0)))^(AN$16-AM$16),INDEX('AEA2012 update'!$AC$6:$AG$104,MATCH($T72&amp;$U72,'AEA2012 update'!$A$6:$A$104&amp;'AEA2012 update'!$B$6:$B$104,0),MATCH(AN$16,'AEA2012 update'!$AC$4:$AG$4,0)))</f>
        <v>5.539467803943408</v>
      </c>
      <c r="AO72" s="67">
        <f t="array" ref="AO72">IF($AE$1,AN72*(1+INDEX(AO$1:AO$2,MATCH($O72,$AI$1:$AI$2,0)))^(AO$16-AN$16),INDEX('AEA2012 update'!$AC$6:$AG$104,MATCH($T72&amp;$U72,'AEA2012 update'!$A$6:$A$104&amp;'AEA2012 update'!$B$6:$B$104,0),MATCH(AO$16,'AEA2012 update'!$AC$4:$AG$4,0)))</f>
        <v>5.0097953869748038</v>
      </c>
      <c r="AP72" s="67">
        <f t="array" ref="AP72">IF($AE$1,AO72*(1+INDEX(AP$1:AP$2,MATCH($O72,$AI$1:$AI$2,0)))^(AP$16-AO$16),INDEX('AEA2012 update'!$AC$6:$AG$104,MATCH($T72&amp;$U72,'AEA2012 update'!$A$6:$A$104&amp;'AEA2012 update'!$B$6:$B$104,0),MATCH(AP$16,'AEA2012 update'!$AC$4:$AG$4,0)))</f>
        <v>4.5307691474418084</v>
      </c>
      <c r="AQ72" s="67"/>
      <c r="AR72" s="274">
        <f t="shared" si="10"/>
        <v>-9.9900033333332372E-4</v>
      </c>
      <c r="AS72" s="274">
        <f t="shared" si="11"/>
        <v>-7.5326913841620409E-3</v>
      </c>
      <c r="AY72" s="61" t="str">
        <f t="shared" si="12"/>
        <v>HCV1-ODS</v>
      </c>
      <c r="AZ72" s="80" t="e" cm="1">
        <f t="array" aca="1" ref="AZ72" ca="1">AL72/INDIRECT("cv."&amp;LEFT($U72,6)&amp;".hhv.MJL") * 100</f>
        <v>#REF!</v>
      </c>
      <c r="BA72" s="80" t="e" cm="1">
        <f t="array" aca="1" ref="BA72" ca="1">AM72/INDIRECT("cv."&amp;LEFT($U72,6)&amp;".hhv.MJL") * 100</f>
        <v>#REF!</v>
      </c>
      <c r="BB72" s="80" t="e" cm="1">
        <f t="array" aca="1" ref="BB72" ca="1">AN72/INDIRECT("cv."&amp;LEFT($U72,6)&amp;".hhv.MJL") * 100</f>
        <v>#REF!</v>
      </c>
      <c r="BC72" s="80" t="e" cm="1">
        <f t="array" aca="1" ref="BC72" ca="1">AO72/INDIRECT("cv."&amp;LEFT($U72,6)&amp;".hhv.MJL") * 100</f>
        <v>#REF!</v>
      </c>
      <c r="BD72" s="80" t="e" cm="1">
        <f t="array" aca="1" ref="BD72" ca="1">AP72/INDIRECT("cv."&amp;LEFT($U72,6)&amp;".hhv.MJL") * 100</f>
        <v>#REF!</v>
      </c>
    </row>
    <row r="73" spans="1:61" ht="15.75" thickBot="1" x14ac:dyDescent="0.3">
      <c r="A73" s="285" t="s">
        <v>253</v>
      </c>
      <c r="B73" s="286">
        <v>19406</v>
      </c>
      <c r="C73" s="283">
        <f t="shared" si="17"/>
        <v>7.5512783396682204E-3</v>
      </c>
      <c r="N73" s="61" t="s">
        <v>573</v>
      </c>
      <c r="O73" s="61" t="s">
        <v>653</v>
      </c>
      <c r="P73" s="61" t="s">
        <v>724</v>
      </c>
      <c r="Q73" s="61" t="str">
        <f t="shared" si="7"/>
        <v>CV1</v>
      </c>
      <c r="R73" s="61" t="s">
        <v>687</v>
      </c>
      <c r="S73" s="65"/>
      <c r="T73" s="273" t="s">
        <v>725</v>
      </c>
      <c r="U73" s="957" t="s">
        <v>680</v>
      </c>
      <c r="V73" s="965"/>
      <c r="W73" s="958">
        <f t="shared" si="18"/>
        <v>0</v>
      </c>
      <c r="X73" s="959">
        <f t="shared" si="18"/>
        <v>0</v>
      </c>
      <c r="Y73" s="959">
        <f t="shared" si="18"/>
        <v>0</v>
      </c>
      <c r="Z73" s="959">
        <f t="shared" si="18"/>
        <v>0</v>
      </c>
      <c r="AA73" s="959">
        <f t="shared" si="18"/>
        <v>0</v>
      </c>
      <c r="AB73" s="959">
        <f t="shared" si="18"/>
        <v>0</v>
      </c>
      <c r="AC73" s="960">
        <f t="shared" si="18"/>
        <v>0</v>
      </c>
      <c r="AD73" s="103" cm="1">
        <f t="array" ref="AD73">IF(W73,INDEX('AEA2012 update'!$K$6:$R$104,MATCH($T73&amp;$R73,'AEA2012 update'!$A$6:$A$104&amp;'AEA2012 update'!$B$6:$B$104,0),MATCH(AD$16,'AEA2012 update'!$S$4:$Z$4,0)),INDEX('AEA2012 update'!$K$6:$R$104,MATCH($T73&amp;$U73,'AEA2012 update'!$A$6:$A$104&amp;'AEA2012 update'!$B$6:$B$104,0),MATCH(AD$16,'AEA2012 update'!$S$4:$Z$4,0)))</f>
        <v>312164.0168491315</v>
      </c>
      <c r="AE73" s="103" cm="1">
        <f t="array" ref="AE73">IF(X73,INDEX('AEA2012 update'!$K$6:$R$104,MATCH($T73&amp;$R73,'AEA2012 update'!$A$6:$A$104&amp;'AEA2012 update'!$B$6:$B$104,0),MATCH(AE$16,'AEA2012 update'!$S$4:$Z$4,0)),INDEX('AEA2012 update'!$K$6:$R$104,MATCH($T73&amp;$U73,'AEA2012 update'!$A$6:$A$104&amp;'AEA2012 update'!$B$6:$B$104,0),MATCH(AE$16,'AEA2012 update'!$S$4:$Z$4,0)))</f>
        <v>375623.26945122989</v>
      </c>
      <c r="AF73" s="103" cm="1">
        <f t="array" ref="AF73">IF(Y73,INDEX('AEA2012 update'!$K$6:$R$104,MATCH($T73&amp;$R73,'AEA2012 update'!$A$6:$A$104&amp;'AEA2012 update'!$B$6:$B$104,0),MATCH(AF$16,'AEA2012 update'!$S$4:$Z$4,0)),INDEX('AEA2012 update'!$K$6:$R$104,MATCH($T73&amp;$U73,'AEA2012 update'!$A$6:$A$104&amp;'AEA2012 update'!$B$6:$B$104,0),MATCH(AF$16,'AEA2012 update'!$S$4:$Z$4,0)))</f>
        <v>387507.90448206</v>
      </c>
      <c r="AG73" s="103" cm="1">
        <f t="array" ref="AG73">IF(Z73,INDEX('AEA2012 update'!$K$6:$R$104,MATCH($T73&amp;$R73,'AEA2012 update'!$A$6:$A$104&amp;'AEA2012 update'!$B$6:$B$104,0),MATCH(AG$16,'AEA2012 update'!$S$4:$Z$4,0)),INDEX('AEA2012 update'!$K$6:$R$104,MATCH($T73&amp;$U73,'AEA2012 update'!$A$6:$A$104&amp;'AEA2012 update'!$B$6:$B$104,0),MATCH(AG$16,'AEA2012 update'!$S$4:$Z$4,0)))</f>
        <v>399392.53951289022</v>
      </c>
      <c r="AH73" s="103" cm="1">
        <f t="array" ref="AH73">IF(AA73,INDEX('AEA2012 update'!$K$6:$R$104,MATCH($T73&amp;$R73,'AEA2012 update'!$A$6:$A$104&amp;'AEA2012 update'!$B$6:$B$104,0),MATCH(AH$16,'AEA2012 update'!$S$4:$Z$4,0)),INDEX('AEA2012 update'!$K$6:$R$104,MATCH($T73&amp;$U73,'AEA2012 update'!$A$6:$A$104&amp;'AEA2012 update'!$B$6:$B$104,0),MATCH(AH$16,'AEA2012 update'!$S$4:$Z$4,0)))</f>
        <v>410035.42818395526</v>
      </c>
      <c r="AI73" s="103" cm="1">
        <f t="array" ref="AI73">IF(AB73,INDEX('AEA2012 update'!$K$6:$R$104,MATCH($T73&amp;$R73,'AEA2012 update'!$A$6:$A$104&amp;'AEA2012 update'!$B$6:$B$104,0),MATCH(AI$16,'AEA2012 update'!$S$4:$Z$4,0)),INDEX('AEA2012 update'!$K$6:$R$104,MATCH($T73&amp;$U73,'AEA2012 update'!$A$6:$A$104&amp;'AEA2012 update'!$B$6:$B$104,0),MATCH(AI$16,'AEA2012 update'!$S$4:$Z$4,0)))</f>
        <v>420678.31685502018</v>
      </c>
      <c r="AJ73" s="103" cm="1">
        <f t="array" ref="AJ73">IF(AC73,INDEX('AEA2012 update'!$K$6:$R$104,MATCH($T73&amp;$R73,'AEA2012 update'!$A$6:$A$104&amp;'AEA2012 update'!$B$6:$B$104,0),MATCH(AJ$16,'AEA2012 update'!$S$4:$Z$4,0)),INDEX('AEA2012 update'!$K$6:$R$104,MATCH($T73&amp;$U73,'AEA2012 update'!$A$6:$A$104&amp;'AEA2012 update'!$B$6:$B$104,0),MATCH(AJ$16,'AEA2012 update'!$S$4:$Z$4,0)))</f>
        <v>434654.42291837675</v>
      </c>
      <c r="AK73" s="103" t="str">
        <f t="shared" si="13"/>
        <v>CV1OGS</v>
      </c>
      <c r="AL73" s="67">
        <f>1/INDEX(Analytica!$AA$17:$AE$48,MATCH($AK73,Analytica!$A$17:$A$48,0),MATCH(AL$16,Analytica!$AA$16:$AE$16,0))</f>
        <v>6.7130154689796147</v>
      </c>
      <c r="AM73" s="67">
        <f t="array" ref="AM73">IF($AE$1,AL73*(1+INDEX(AM$1:AM$2,MATCH($O73,$AI$1:$AI$2,0)))^(AM$16-AL$16),INDEX('AEA2012 update'!$AC$6:$AG$104,MATCH($T73&amp;$U73,'AEA2012 update'!$A$6:$A$104&amp;'AEA2012 update'!$B$6:$B$104,0),MATCH(AM$16,'AEA2012 update'!$AC$4:$AG$4,0)))</f>
        <v>6.6928965549060671</v>
      </c>
      <c r="AN73" s="67">
        <f t="array" ref="AN73">IF($AE$1,AM73*(1+INDEX(AN$1:AN$2,MATCH($O73,$AI$1:$AI$2,0)))^(AN$16-AM$16),INDEX('AEA2012 update'!$AC$6:$AG$104,MATCH($T73&amp;$U73,'AEA2012 update'!$A$6:$A$104&amp;'AEA2012 update'!$B$6:$B$104,0),MATCH(AN$16,'AEA2012 update'!$AC$4:$AG$4,0)))</f>
        <v>6.3337656038201411</v>
      </c>
      <c r="AO73" s="67">
        <f t="array" ref="AO73">IF($AE$1,AN73*(1+INDEX(AO$1:AO$2,MATCH($O73,$AI$1:$AI$2,0)))^(AO$16-AN$16),INDEX('AEA2012 update'!$AC$6:$AG$104,MATCH($T73&amp;$U73,'AEA2012 update'!$A$6:$A$104&amp;'AEA2012 update'!$B$6:$B$104,0),MATCH(AO$16,'AEA2012 update'!$AC$4:$AG$4,0)))</f>
        <v>5.7281440794022513</v>
      </c>
      <c r="AP73" s="67">
        <f t="array" ref="AP73">IF($AE$1,AO73*(1+INDEX(AP$1:AP$2,MATCH($O73,$AI$1:$AI$2,0)))^(AP$16-AO$16),INDEX('AEA2012 update'!$AC$6:$AG$104,MATCH($T73&amp;$U73,'AEA2012 update'!$A$6:$A$104&amp;'AEA2012 update'!$B$6:$B$104,0),MATCH(AP$16,'AEA2012 update'!$AC$4:$AG$4,0)))</f>
        <v>5.1804308284792056</v>
      </c>
      <c r="AQ73" s="67"/>
      <c r="AR73" s="274">
        <f t="shared" si="10"/>
        <v>-9.9900033333334454E-4</v>
      </c>
      <c r="AS73" s="274">
        <f t="shared" si="11"/>
        <v>-7.5326913841620375E-3</v>
      </c>
      <c r="AY73" s="61" t="str">
        <f t="shared" si="12"/>
        <v>HCV1-OGS</v>
      </c>
      <c r="AZ73" s="80" t="e" cm="1">
        <f t="array" aca="1" ref="AZ73" ca="1">AL73/INDIRECT("cv."&amp;LEFT($U73,6)&amp;".hhv.MJL") * 100</f>
        <v>#REF!</v>
      </c>
      <c r="BA73" s="80" t="e" cm="1">
        <f t="array" aca="1" ref="BA73" ca="1">AM73/INDIRECT("cv."&amp;LEFT($U73,6)&amp;".hhv.MJL") * 100</f>
        <v>#REF!</v>
      </c>
      <c r="BB73" s="80" t="e" cm="1">
        <f t="array" aca="1" ref="BB73" ca="1">AN73/INDIRECT("cv."&amp;LEFT($U73,6)&amp;".hhv.MJL") * 100</f>
        <v>#REF!</v>
      </c>
      <c r="BC73" s="80" t="e" cm="1">
        <f t="array" aca="1" ref="BC73" ca="1">AO73/INDIRECT("cv."&amp;LEFT($U73,6)&amp;".hhv.MJL") * 100</f>
        <v>#REF!</v>
      </c>
      <c r="BD73" s="80" t="e" cm="1">
        <f t="array" aca="1" ref="BD73" ca="1">AP73/INDIRECT("cv."&amp;LEFT($U73,6)&amp;".hhv.MJL") * 100</f>
        <v>#REF!</v>
      </c>
    </row>
    <row r="74" spans="1:61" ht="15.75" thickBot="1" x14ac:dyDescent="0.3">
      <c r="A74" s="285" t="s">
        <v>251</v>
      </c>
      <c r="B74" s="286">
        <v>434</v>
      </c>
      <c r="C74" s="283">
        <f t="shared" si="17"/>
        <v>1.688784293216535E-4</v>
      </c>
      <c r="N74" s="61" t="s">
        <v>501</v>
      </c>
      <c r="O74" s="61" t="s">
        <v>653</v>
      </c>
      <c r="P74" s="61" t="s">
        <v>724</v>
      </c>
      <c r="Q74" s="61" t="str">
        <f t="shared" si="7"/>
        <v>CV1</v>
      </c>
      <c r="R74" s="61" t="s">
        <v>687</v>
      </c>
      <c r="S74" s="65"/>
      <c r="T74" s="273" t="s">
        <v>725</v>
      </c>
      <c r="U74" s="957" t="s">
        <v>692</v>
      </c>
      <c r="V74" s="965">
        <v>2040</v>
      </c>
      <c r="W74" s="958">
        <f t="shared" si="18"/>
        <v>0</v>
      </c>
      <c r="X74" s="959">
        <f t="shared" si="18"/>
        <v>0</v>
      </c>
      <c r="Y74" s="959">
        <f t="shared" si="18"/>
        <v>0</v>
      </c>
      <c r="Z74" s="959">
        <f t="shared" si="18"/>
        <v>0</v>
      </c>
      <c r="AA74" s="959">
        <f t="shared" si="18"/>
        <v>0</v>
      </c>
      <c r="AB74" s="959">
        <f t="shared" si="18"/>
        <v>1</v>
      </c>
      <c r="AC74" s="960">
        <f t="shared" si="18"/>
        <v>1</v>
      </c>
      <c r="AD74" s="103" cm="1">
        <f t="array" ref="AD74">IF(W74,INDEX('AEA2012 update'!$K$6:$R$104,MATCH($T74&amp;$R74,'AEA2012 update'!$A$6:$A$104&amp;'AEA2012 update'!$B$6:$B$104,0),MATCH(AD$16,'AEA2012 update'!$S$4:$Z$4,0)),INDEX('AEA2012 update'!$K$6:$R$104,MATCH($T74&amp;$U74,'AEA2012 update'!$A$6:$A$104&amp;'AEA2012 update'!$B$6:$B$104,0),MATCH(AD$16,'AEA2012 update'!$S$4:$Z$4,0)))</f>
        <v>1327792.7757726812</v>
      </c>
      <c r="AE74" s="103" cm="1">
        <f t="array" ref="AE74">IF(X74,INDEX('AEA2012 update'!$K$6:$R$104,MATCH($T74&amp;$R74,'AEA2012 update'!$A$6:$A$104&amp;'AEA2012 update'!$B$6:$B$104,0),MATCH(AE$16,'AEA2012 update'!$S$4:$Z$4,0)),INDEX('AEA2012 update'!$K$6:$R$104,MATCH($T74&amp;$U74,'AEA2012 update'!$A$6:$A$104&amp;'AEA2012 update'!$B$6:$B$104,0),MATCH(AE$16,'AEA2012 update'!$S$4:$Z$4,0)))</f>
        <v>871544.47239677189</v>
      </c>
      <c r="AF74" s="103" cm="1">
        <f t="array" ref="AF74">IF(Y74,INDEX('AEA2012 update'!$K$6:$R$104,MATCH($T74&amp;$R74,'AEA2012 update'!$A$6:$A$104&amp;'AEA2012 update'!$B$6:$B$104,0),MATCH(AF$16,'AEA2012 update'!$S$4:$Z$4,0)),INDEX('AEA2012 update'!$K$6:$R$104,MATCH($T74&amp;$U74,'AEA2012 update'!$A$6:$A$104&amp;'AEA2012 update'!$B$6:$B$104,0),MATCH(AF$16,'AEA2012 update'!$S$4:$Z$4,0)))</f>
        <v>791404.01330598292</v>
      </c>
      <c r="AG74" s="103" cm="1">
        <f t="array" ref="AG74">IF(Z74,INDEX('AEA2012 update'!$K$6:$R$104,MATCH($T74&amp;$R74,'AEA2012 update'!$A$6:$A$104&amp;'AEA2012 update'!$B$6:$B$104,0),MATCH(AG$16,'AEA2012 update'!$S$4:$Z$4,0)),INDEX('AEA2012 update'!$K$6:$R$104,MATCH($T74&amp;$U74,'AEA2012 update'!$A$6:$A$104&amp;'AEA2012 update'!$B$6:$B$104,0),MATCH(AG$16,'AEA2012 update'!$S$4:$Z$4,0)))</f>
        <v>711263.55421519373</v>
      </c>
      <c r="AH74" s="103" cm="1">
        <f t="array" ref="AH74">IF(AA74,INDEX('AEA2012 update'!$K$6:$R$104,MATCH($T74&amp;$R74,'AEA2012 update'!$A$6:$A$104&amp;'AEA2012 update'!$B$6:$B$104,0),MATCH(AH$16,'AEA2012 update'!$S$4:$Z$4,0)),INDEX('AEA2012 update'!$K$6:$R$104,MATCH($T74&amp;$U74,'AEA2012 update'!$A$6:$A$104&amp;'AEA2012 update'!$B$6:$B$104,0),MATCH(AH$16,'AEA2012 update'!$S$4:$Z$4,0)))</f>
        <v>716968.75957082282</v>
      </c>
      <c r="AI74" s="103" cm="1">
        <f t="array" ref="AI74">IF(AB74,INDEX('AEA2012 update'!$K$6:$R$104,MATCH($T74&amp;$R74,'AEA2012 update'!$A$6:$A$104&amp;'AEA2012 update'!$B$6:$B$104,0),MATCH(AI$16,'AEA2012 update'!$S$4:$Z$4,0)),INDEX('AEA2012 update'!$K$6:$R$104,MATCH($T74&amp;$U74,'AEA2012 update'!$A$6:$A$104&amp;'AEA2012 update'!$B$6:$B$104,0),MATCH(AI$16,'AEA2012 update'!$S$4:$Z$4,0)))</f>
        <v>533932.45692908112</v>
      </c>
      <c r="AJ74" s="103" cm="1">
        <f t="array" ref="AJ74">IF(AC74,INDEX('AEA2012 update'!$K$6:$R$104,MATCH($T74&amp;$R74,'AEA2012 update'!$A$6:$A$104&amp;'AEA2012 update'!$B$6:$B$104,0),MATCH(AJ$16,'AEA2012 update'!$S$4:$Z$4,0)),INDEX('AEA2012 update'!$K$6:$R$104,MATCH($T74&amp;$U74,'AEA2012 update'!$A$6:$A$104&amp;'AEA2012 update'!$B$6:$B$104,0),MATCH(AJ$16,'AEA2012 update'!$S$4:$Z$4,0)))</f>
        <v>551671.18115070788</v>
      </c>
      <c r="AK74" s="103" t="str">
        <f t="shared" si="13"/>
        <v>CV1ELC</v>
      </c>
      <c r="AL74" s="67">
        <f>INDEX('Vehicle data '!$AD$20:$AD$110,MATCH($AK74,'Vehicle data '!$AC$20:$AC$110,0))/INDEX('Vehicle data '!$AD$20:$AD$110,MATCH($AK$72,'Vehicle data '!$AC$20:$AC$110,0))*AL$72</f>
        <v>1.7931249014758348</v>
      </c>
      <c r="AM74" s="67">
        <f t="array" ref="AM74">IF($AE$1,AL74*(1+INDEX(AM$1:AM$2,MATCH($O74,$AI$1:$AI$2,0)))^(AM$16-AL$16),INDEX('AEA2012 update'!$AC$6:$AG$104,MATCH($T74&amp;$U74,'AEA2012 update'!$A$6:$A$104&amp;'AEA2012 update'!$B$6:$B$104,0),MATCH(AM$16,'AEA2012 update'!$AC$4:$AG$4,0)))</f>
        <v>1.7877509043529869</v>
      </c>
      <c r="AN74" s="67">
        <f t="array" ref="AN74">IF($AE$1,AM74*(1+INDEX(AN$1:AN$2,MATCH($O74,$AI$1:$AI$2,0)))^(AN$16-AM$16),INDEX('AEA2012 update'!$AC$6:$AG$104,MATCH($T74&amp;$U74,'AEA2012 update'!$A$6:$A$104&amp;'AEA2012 update'!$B$6:$B$104,0),MATCH(AN$16,'AEA2012 update'!$AC$4:$AG$4,0)))</f>
        <v>1.6918228293681161</v>
      </c>
      <c r="AO74" s="67">
        <f t="array" ref="AO74">IF($AE$1,AN74*(1+INDEX(AO$1:AO$2,MATCH($O74,$AI$1:$AI$2,0)))^(AO$16-AN$16),INDEX('AEA2012 update'!$AC$6:$AG$104,MATCH($T74&amp;$U74,'AEA2012 update'!$A$6:$A$104&amp;'AEA2012 update'!$B$6:$B$104,0),MATCH(AO$16,'AEA2012 update'!$AC$4:$AG$4,0)))</f>
        <v>1.530054240971203</v>
      </c>
      <c r="AP74" s="67">
        <f t="array" ref="AP74">IF($AE$1,AO74*(1+INDEX(AP$1:AP$2,MATCH($O74,$AI$1:$AI$2,0)))^(AP$16-AO$16),INDEX('AEA2012 update'!$AC$6:$AG$104,MATCH($T74&amp;$U74,'AEA2012 update'!$A$6:$A$104&amp;'AEA2012 update'!$B$6:$B$104,0),MATCH(AP$16,'AEA2012 update'!$AC$4:$AG$4,0)))</f>
        <v>1.3837536293255577</v>
      </c>
      <c r="AQ74" s="67"/>
      <c r="AR74" s="274">
        <f t="shared" si="10"/>
        <v>-9.9900033333332199E-4</v>
      </c>
      <c r="AS74" s="274">
        <f t="shared" si="11"/>
        <v>-7.5326913841620409E-3</v>
      </c>
      <c r="AY74" s="61" t="str">
        <f t="shared" si="12"/>
        <v>HCV1-ELC</v>
      </c>
      <c r="AZ74" s="80" t="e" cm="1">
        <f t="array" aca="1" ref="AZ74" ca="1">AL74/INDIRECT("cv."&amp;LEFT($U74,6)&amp;".hhv.MJL") * 100</f>
        <v>#REF!</v>
      </c>
      <c r="BA74" s="80" t="e" cm="1">
        <f t="array" aca="1" ref="BA74" ca="1">AM74/INDIRECT("cv."&amp;LEFT($U74,6)&amp;".hhv.MJL") * 100</f>
        <v>#REF!</v>
      </c>
      <c r="BB74" s="80" t="e" cm="1">
        <f t="array" aca="1" ref="BB74" ca="1">AN74/INDIRECT("cv."&amp;LEFT($U74,6)&amp;".hhv.MJL") * 100</f>
        <v>#REF!</v>
      </c>
      <c r="BC74" s="80" t="e" cm="1">
        <f t="array" aca="1" ref="BC74" ca="1">AO74/INDIRECT("cv."&amp;LEFT($U74,6)&amp;".hhv.MJL") * 100</f>
        <v>#REF!</v>
      </c>
      <c r="BD74" s="80" t="e" cm="1">
        <f t="array" aca="1" ref="BD74" ca="1">AP74/INDIRECT("cv."&amp;LEFT($U74,6)&amp;".hhv.MJL") * 100</f>
        <v>#REF!</v>
      </c>
    </row>
    <row r="75" spans="1:61" ht="15.75" thickBot="1" x14ac:dyDescent="0.3">
      <c r="A75" s="285" t="s">
        <v>249</v>
      </c>
      <c r="B75" s="286">
        <v>514</v>
      </c>
      <c r="C75" s="283">
        <f t="shared" si="17"/>
        <v>2.000080937127417E-4</v>
      </c>
      <c r="N75" s="61" t="s">
        <v>504</v>
      </c>
      <c r="O75" s="61" t="s">
        <v>653</v>
      </c>
      <c r="P75" s="61" t="s">
        <v>724</v>
      </c>
      <c r="Q75" s="61" t="str">
        <f t="shared" si="7"/>
        <v>CV1</v>
      </c>
      <c r="R75" s="61" t="s">
        <v>687</v>
      </c>
      <c r="S75" s="65"/>
      <c r="T75" s="273" t="s">
        <v>725</v>
      </c>
      <c r="U75" s="957" t="s">
        <v>699</v>
      </c>
      <c r="V75" s="965">
        <v>2040</v>
      </c>
      <c r="W75" s="958">
        <f t="shared" si="18"/>
        <v>0</v>
      </c>
      <c r="X75" s="959">
        <f t="shared" si="18"/>
        <v>0</v>
      </c>
      <c r="Y75" s="959">
        <f t="shared" si="18"/>
        <v>0</v>
      </c>
      <c r="Z75" s="959">
        <f t="shared" si="18"/>
        <v>0</v>
      </c>
      <c r="AA75" s="959">
        <f t="shared" si="18"/>
        <v>0</v>
      </c>
      <c r="AB75" s="959">
        <f t="shared" si="18"/>
        <v>1</v>
      </c>
      <c r="AC75" s="960">
        <f t="shared" si="18"/>
        <v>1</v>
      </c>
      <c r="AD75" s="103" cm="1">
        <f t="array" ref="AD75">IF(W75,INDEX('AEA2012 update'!$K$6:$R$104,MATCH($T75&amp;$R75,'AEA2012 update'!$A$6:$A$104&amp;'AEA2012 update'!$B$6:$B$104,0),MATCH(AD$16,'AEA2012 update'!$S$4:$Z$4,0)),INDEX('AEA2012 update'!$K$6:$R$104,MATCH($T75&amp;$U75,'AEA2012 update'!$A$6:$A$104&amp;'AEA2012 update'!$B$6:$B$104,0),MATCH(AD$16,'AEA2012 update'!$S$4:$Z$4,0)))</f>
        <v>2522990.6381765995</v>
      </c>
      <c r="AE75" s="103" cm="1">
        <f t="array" ref="AE75">IF(X75,INDEX('AEA2012 update'!$K$6:$R$104,MATCH($T75&amp;$R75,'AEA2012 update'!$A$6:$A$104&amp;'AEA2012 update'!$B$6:$B$104,0),MATCH(AE$16,'AEA2012 update'!$S$4:$Z$4,0)),INDEX('AEA2012 update'!$K$6:$R$104,MATCH($T75&amp;$U75,'AEA2012 update'!$A$6:$A$104&amp;'AEA2012 update'!$B$6:$B$104,0),MATCH(AE$16,'AEA2012 update'!$S$4:$Z$4,0)))</f>
        <v>1080982.7502171779</v>
      </c>
      <c r="AF75" s="103" cm="1">
        <f t="array" ref="AF75">IF(Y75,INDEX('AEA2012 update'!$K$6:$R$104,MATCH($T75&amp;$R75,'AEA2012 update'!$A$6:$A$104&amp;'AEA2012 update'!$B$6:$B$104,0),MATCH(AF$16,'AEA2012 update'!$S$4:$Z$4,0)),INDEX('AEA2012 update'!$K$6:$R$104,MATCH($T75&amp;$U75,'AEA2012 update'!$A$6:$A$104&amp;'AEA2012 update'!$B$6:$B$104,0),MATCH(AF$16,'AEA2012 update'!$S$4:$Z$4,0)))</f>
        <v>851672.91194386315</v>
      </c>
      <c r="AG75" s="103" cm="1">
        <f t="array" ref="AG75">IF(Z75,INDEX('AEA2012 update'!$K$6:$R$104,MATCH($T75&amp;$R75,'AEA2012 update'!$A$6:$A$104&amp;'AEA2012 update'!$B$6:$B$104,0),MATCH(AG$16,'AEA2012 update'!$S$4:$Z$4,0)),INDEX('AEA2012 update'!$K$6:$R$104,MATCH($T75&amp;$U75,'AEA2012 update'!$A$6:$A$104&amp;'AEA2012 update'!$B$6:$B$104,0),MATCH(AG$16,'AEA2012 update'!$S$4:$Z$4,0)))</f>
        <v>622363.07367054839</v>
      </c>
      <c r="AH75" s="103" cm="1">
        <f t="array" ref="AH75">IF(AA75,INDEX('AEA2012 update'!$K$6:$R$104,MATCH($T75&amp;$R75,'AEA2012 update'!$A$6:$A$104&amp;'AEA2012 update'!$B$6:$B$104,0),MATCH(AH$16,'AEA2012 update'!$S$4:$Z$4,0)),INDEX('AEA2012 update'!$K$6:$R$104,MATCH($T75&amp;$U75,'AEA2012 update'!$A$6:$A$104&amp;'AEA2012 update'!$B$6:$B$104,0),MATCH(AH$16,'AEA2012 update'!$S$4:$Z$4,0)))</f>
        <v>593958.67654201027</v>
      </c>
      <c r="AI75" s="103" cm="1">
        <f t="array" ref="AI75">IF(AB75,INDEX('AEA2012 update'!$K$6:$R$104,MATCH($T75&amp;$R75,'AEA2012 update'!$A$6:$A$104&amp;'AEA2012 update'!$B$6:$B$104,0),MATCH(AI$16,'AEA2012 update'!$S$4:$Z$4,0)),INDEX('AEA2012 update'!$K$6:$R$104,MATCH($T75&amp;$U75,'AEA2012 update'!$A$6:$A$104&amp;'AEA2012 update'!$B$6:$B$104,0),MATCH(AI$16,'AEA2012 update'!$S$4:$Z$4,0)))</f>
        <v>533932.45692908112</v>
      </c>
      <c r="AJ75" s="103" cm="1">
        <f t="array" ref="AJ75">IF(AC75,INDEX('AEA2012 update'!$K$6:$R$104,MATCH($T75&amp;$R75,'AEA2012 update'!$A$6:$A$104&amp;'AEA2012 update'!$B$6:$B$104,0),MATCH(AJ$16,'AEA2012 update'!$S$4:$Z$4,0)),INDEX('AEA2012 update'!$K$6:$R$104,MATCH($T75&amp;$U75,'AEA2012 update'!$A$6:$A$104&amp;'AEA2012 update'!$B$6:$B$104,0),MATCH(AJ$16,'AEA2012 update'!$S$4:$Z$4,0)))</f>
        <v>551671.18115070788</v>
      </c>
      <c r="AK75" s="103" t="str">
        <f t="shared" si="13"/>
        <v>CV1HGN</v>
      </c>
      <c r="AL75" s="67">
        <f>INDEX('Vehicle data '!$AD$20:$AD$110,MATCH($AK75,'Vehicle data '!$AC$20:$AC$110,0))/INDEX('Vehicle data '!$AD$20:$AD$110,MATCH($AK$72,'Vehicle data '!$AC$20:$AC$110,0))*AL$72</f>
        <v>2.7683331812258496</v>
      </c>
      <c r="AM75" s="67">
        <f t="array" ref="AM75">IF($AE$1,AL75*(1+INDEX(AM$1:AM$2,MATCH($O75,$AI$1:$AI$2,0)))^(AM$16-AL$16),INDEX('AEA2012 update'!$AC$6:$AG$104,MATCH($T75&amp;$U75,'AEA2012 update'!$A$6:$A$104&amp;'AEA2012 update'!$B$6:$B$104,0),MATCH(AM$16,'AEA2012 update'!$AC$4:$AG$4,0)))</f>
        <v>2.7600364839133826</v>
      </c>
      <c r="AN75" s="67">
        <f t="array" ref="AN75">IF($AE$1,AM75*(1+INDEX(AN$1:AN$2,MATCH($O75,$AI$1:$AI$2,0)))^(AN$16-AM$16),INDEX('AEA2012 update'!$AC$6:$AG$104,MATCH($T75&amp;$U75,'AEA2012 update'!$A$6:$A$104&amp;'AEA2012 update'!$B$6:$B$104,0),MATCH(AN$16,'AEA2012 update'!$AC$4:$AG$4,0)))</f>
        <v>2.6119369997262138</v>
      </c>
      <c r="AO75" s="67">
        <f t="array" ref="AO75">IF($AE$1,AN75*(1+INDEX(AO$1:AO$2,MATCH($O75,$AI$1:$AI$2,0)))^(AO$16-AN$16),INDEX('AEA2012 update'!$AC$6:$AG$104,MATCH($T75&amp;$U75,'AEA2012 update'!$A$6:$A$104&amp;'AEA2012 update'!$B$6:$B$104,0),MATCH(AO$16,'AEA2012 update'!$AC$4:$AG$4,0)))</f>
        <v>2.362189003604664</v>
      </c>
      <c r="AP75" s="67">
        <f t="array" ref="AP75">IF($AE$1,AO75*(1+INDEX(AP$1:AP$2,MATCH($O75,$AI$1:$AI$2,0)))^(AP$16-AO$16),INDEX('AEA2012 update'!$AC$6:$AG$104,MATCH($T75&amp;$U75,'AEA2012 update'!$A$6:$A$104&amp;'AEA2012 update'!$B$6:$B$104,0),MATCH(AP$16,'AEA2012 update'!$AC$4:$AG$4,0)))</f>
        <v>2.1363213926429658</v>
      </c>
      <c r="AQ75" s="67"/>
      <c r="AR75" s="274">
        <f t="shared" si="10"/>
        <v>-9.990003333333222E-4</v>
      </c>
      <c r="AS75" s="274">
        <f t="shared" si="11"/>
        <v>-7.5326913841620401E-3</v>
      </c>
      <c r="AY75" s="61" t="str">
        <f t="shared" si="12"/>
        <v>HCV1-HGN</v>
      </c>
      <c r="AZ75" s="80" t="e" cm="1">
        <f t="array" aca="1" ref="AZ75" ca="1">AL75/INDIRECT("cv."&amp;LEFT($U75,6)&amp;".hhv.MJL") * 100</f>
        <v>#REF!</v>
      </c>
      <c r="BA75" s="80" t="e" cm="1">
        <f t="array" aca="1" ref="BA75" ca="1">AM75/INDIRECT("cv."&amp;LEFT($U75,6)&amp;".hhv.MJL") * 100</f>
        <v>#REF!</v>
      </c>
      <c r="BB75" s="80" t="e" cm="1">
        <f t="array" aca="1" ref="BB75" ca="1">AN75/INDIRECT("cv."&amp;LEFT($U75,6)&amp;".hhv.MJL") * 100</f>
        <v>#REF!</v>
      </c>
      <c r="BC75" s="80" t="e" cm="1">
        <f t="array" aca="1" ref="BC75" ca="1">AO75/INDIRECT("cv."&amp;LEFT($U75,6)&amp;".hhv.MJL") * 100</f>
        <v>#REF!</v>
      </c>
      <c r="BD75" s="80" t="e" cm="1">
        <f t="array" aca="1" ref="BD75" ca="1">AP75/INDIRECT("cv."&amp;LEFT($U75,6)&amp;".hhv.MJL") * 100</f>
        <v>#REF!</v>
      </c>
    </row>
    <row r="76" spans="1:61" ht="15.75" thickBot="1" x14ac:dyDescent="0.3">
      <c r="A76" s="287" t="s">
        <v>726</v>
      </c>
      <c r="B76" s="288">
        <f>SUM(B64:B75)</f>
        <v>2569896</v>
      </c>
      <c r="C76" s="289">
        <f>SUM(C64:C75)</f>
        <v>1</v>
      </c>
      <c r="N76" s="61" t="s">
        <v>509</v>
      </c>
      <c r="O76" s="61" t="s">
        <v>653</v>
      </c>
      <c r="P76" s="61" t="s">
        <v>724</v>
      </c>
      <c r="Q76" s="61" t="str">
        <f t="shared" si="7"/>
        <v>CV1</v>
      </c>
      <c r="R76" s="61" t="s">
        <v>687</v>
      </c>
      <c r="S76" s="65"/>
      <c r="T76" s="273" t="s">
        <v>725</v>
      </c>
      <c r="U76" s="957" t="s">
        <v>700</v>
      </c>
      <c r="V76" s="965"/>
      <c r="W76" s="958">
        <f t="shared" si="18"/>
        <v>0</v>
      </c>
      <c r="X76" s="959">
        <f t="shared" si="18"/>
        <v>0</v>
      </c>
      <c r="Y76" s="959">
        <f t="shared" si="18"/>
        <v>0</v>
      </c>
      <c r="Z76" s="959">
        <f t="shared" si="18"/>
        <v>0</v>
      </c>
      <c r="AA76" s="959">
        <f t="shared" si="18"/>
        <v>0</v>
      </c>
      <c r="AB76" s="959">
        <f t="shared" si="18"/>
        <v>0</v>
      </c>
      <c r="AC76" s="960">
        <f t="shared" si="18"/>
        <v>0</v>
      </c>
      <c r="AD76" s="103" cm="1">
        <f t="array" ref="AD76">IF(W76,INDEX('AEA2012 update'!$K$6:$R$104,MATCH($T76&amp;$R76,'AEA2012 update'!$A$6:$A$104&amp;'AEA2012 update'!$B$6:$B$104,0),MATCH(AD$16,'AEA2012 update'!$S$4:$Z$4,0)),INDEX('AEA2012 update'!$K$6:$R$104,MATCH($T76&amp;$U76,'AEA2012 update'!$A$6:$A$104&amp;'AEA2012 update'!$B$6:$B$104,0),MATCH(AD$16,'AEA2012 update'!$S$4:$Z$4,0)))</f>
        <v>598309.30679972272</v>
      </c>
      <c r="AE76" s="103" cm="1">
        <f t="array" ref="AE76">IF(X76,INDEX('AEA2012 update'!$K$6:$R$104,MATCH($T76&amp;$R76,'AEA2012 update'!$A$6:$A$104&amp;'AEA2012 update'!$B$6:$B$104,0),MATCH(AE$16,'AEA2012 update'!$S$4:$Z$4,0)),INDEX('AEA2012 update'!$K$6:$R$104,MATCH($T76&amp;$U76,'AEA2012 update'!$A$6:$A$104&amp;'AEA2012 update'!$B$6:$B$104,0),MATCH(AE$16,'AEA2012 update'!$S$4:$Z$4,0)))</f>
        <v>588990.88834881992</v>
      </c>
      <c r="AF76" s="103" cm="1">
        <f t="array" ref="AF76">IF(Y76,INDEX('AEA2012 update'!$K$6:$R$104,MATCH($T76&amp;$R76,'AEA2012 update'!$A$6:$A$104&amp;'AEA2012 update'!$B$6:$B$104,0),MATCH(AF$16,'AEA2012 update'!$S$4:$Z$4,0)),INDEX('AEA2012 update'!$K$6:$R$104,MATCH($T76&amp;$U76,'AEA2012 update'!$A$6:$A$104&amp;'AEA2012 update'!$B$6:$B$104,0),MATCH(AF$16,'AEA2012 update'!$S$4:$Z$4,0)))</f>
        <v>591035.13773094804</v>
      </c>
      <c r="AG76" s="103" cm="1">
        <f t="array" ref="AG76">IF(Z76,INDEX('AEA2012 update'!$K$6:$R$104,MATCH($T76&amp;$R76,'AEA2012 update'!$A$6:$A$104&amp;'AEA2012 update'!$B$6:$B$104,0),MATCH(AG$16,'AEA2012 update'!$S$4:$Z$4,0)),INDEX('AEA2012 update'!$K$6:$R$104,MATCH($T76&amp;$U76,'AEA2012 update'!$A$6:$A$104&amp;'AEA2012 update'!$B$6:$B$104,0),MATCH(AG$16,'AEA2012 update'!$S$4:$Z$4,0)))</f>
        <v>593079.38711307617</v>
      </c>
      <c r="AH76" s="103" cm="1">
        <f t="array" ref="AH76">IF(AA76,INDEX('AEA2012 update'!$K$6:$R$104,MATCH($T76&amp;$R76,'AEA2012 update'!$A$6:$A$104&amp;'AEA2012 update'!$B$6:$B$104,0),MATCH(AH$16,'AEA2012 update'!$S$4:$Z$4,0)),INDEX('AEA2012 update'!$K$6:$R$104,MATCH($T76&amp;$U76,'AEA2012 update'!$A$6:$A$104&amp;'AEA2012 update'!$B$6:$B$104,0),MATCH(AH$16,'AEA2012 update'!$S$4:$Z$4,0)))</f>
        <v>599603.08321858256</v>
      </c>
      <c r="AI76" s="103" cm="1">
        <f t="array" ref="AI76">IF(AB76,INDEX('AEA2012 update'!$K$6:$R$104,MATCH($T76&amp;$R76,'AEA2012 update'!$A$6:$A$104&amp;'AEA2012 update'!$B$6:$B$104,0),MATCH(AI$16,'AEA2012 update'!$S$4:$Z$4,0)),INDEX('AEA2012 update'!$K$6:$R$104,MATCH($T76&amp;$U76,'AEA2012 update'!$A$6:$A$104&amp;'AEA2012 update'!$B$6:$B$104,0),MATCH(AI$16,'AEA2012 update'!$S$4:$Z$4,0)))</f>
        <v>606126.77932408883</v>
      </c>
      <c r="AJ76" s="103" cm="1">
        <f t="array" ref="AJ76">IF(AC76,INDEX('AEA2012 update'!$K$6:$R$104,MATCH($T76&amp;$R76,'AEA2012 update'!$A$6:$A$104&amp;'AEA2012 update'!$B$6:$B$104,0),MATCH(AJ$16,'AEA2012 update'!$S$4:$Z$4,0)),INDEX('AEA2012 update'!$K$6:$R$104,MATCH($T76&amp;$U76,'AEA2012 update'!$A$6:$A$104&amp;'AEA2012 update'!$B$6:$B$104,0),MATCH(AJ$16,'AEA2012 update'!$S$4:$Z$4,0)))</f>
        <v>615221.77787460363</v>
      </c>
      <c r="AK76" s="103" t="str">
        <f t="shared" si="13"/>
        <v>CV1GAS</v>
      </c>
      <c r="AL76" s="67">
        <f>INDEX('Vehicle data '!$AD$20:$AD$110,MATCH($AK76,'Vehicle data '!$AC$20:$AC$110,0))/INDEX('Vehicle data '!$AD$20:$AD$110,MATCH($AK$72,'Vehicle data '!$AC$20:$AC$110,0))*AL$72</f>
        <v>6.751830694628433</v>
      </c>
      <c r="AM76" s="67">
        <f t="array" ref="AM76">IF($AE$1,AL76*(1+INDEX(AM$1:AM$2,MATCH($O76,$AI$1:$AI$2,0)))^(AM$16-AL$16),INDEX('AEA2012 update'!$AC$6:$AG$104,MATCH($T76&amp;$U76,'AEA2012 update'!$A$6:$A$104&amp;'AEA2012 update'!$B$6:$B$104,0),MATCH(AM$16,'AEA2012 update'!$AC$4:$AG$4,0)))</f>
        <v>6.7315954512848011</v>
      </c>
      <c r="AN76" s="67">
        <f t="array" ref="AN76">IF($AE$1,AM76*(1+INDEX(AN$1:AN$2,MATCH($O76,$AI$1:$AI$2,0)))^(AN$16-AM$16),INDEX('AEA2012 update'!$AC$6:$AG$104,MATCH($T76&amp;$U76,'AEA2012 update'!$A$6:$A$104&amp;'AEA2012 update'!$B$6:$B$104,0),MATCH(AN$16,'AEA2012 update'!$AC$4:$AG$4,0)))</f>
        <v>6.3703879745349177</v>
      </c>
      <c r="AO76" s="67">
        <f t="array" ref="AO76">IF($AE$1,AN76*(1+INDEX(AO$1:AO$2,MATCH($O76,$AI$1:$AI$2,0)))^(AO$16-AN$16),INDEX('AEA2012 update'!$AC$6:$AG$104,MATCH($T76&amp;$U76,'AEA2012 update'!$A$6:$A$104&amp;'AEA2012 update'!$B$6:$B$104,0),MATCH(AO$16,'AEA2012 update'!$AC$4:$AG$4,0)))</f>
        <v>5.7612646950210227</v>
      </c>
      <c r="AP76" s="67">
        <f t="array" ref="AP76">IF($AE$1,AO76*(1+INDEX(AP$1:AP$2,MATCH($O76,$AI$1:$AI$2,0)))^(AP$16-AO$16),INDEX('AEA2012 update'!$AC$6:$AG$104,MATCH($T76&amp;$U76,'AEA2012 update'!$A$6:$A$104&amp;'AEA2012 update'!$B$6:$B$104,0),MATCH(AP$16,'AEA2012 update'!$AC$4:$AG$4,0)))</f>
        <v>5.2103845195580787</v>
      </c>
      <c r="AQ76" s="67"/>
      <c r="AR76" s="274">
        <f t="shared" si="10"/>
        <v>-9.9900033333332372E-4</v>
      </c>
      <c r="AS76" s="274">
        <f t="shared" si="11"/>
        <v>-7.5326913841620418E-3</v>
      </c>
      <c r="AY76" s="61" t="str">
        <f t="shared" si="12"/>
        <v>HCV1-GAS</v>
      </c>
      <c r="AZ76" s="80" t="e" cm="1">
        <f t="array" aca="1" ref="AZ76" ca="1">AL76/INDIRECT("cv."&amp;LEFT($U76,6)&amp;".hhv.MJL") * 100</f>
        <v>#REF!</v>
      </c>
      <c r="BA76" s="80" t="e" cm="1">
        <f t="array" aca="1" ref="BA76" ca="1">AM76/INDIRECT("cv."&amp;LEFT($U76,6)&amp;".hhv.MJL") * 100</f>
        <v>#REF!</v>
      </c>
      <c r="BB76" s="80" t="e" cm="1">
        <f t="array" aca="1" ref="BB76" ca="1">AN76/INDIRECT("cv."&amp;LEFT($U76,6)&amp;".hhv.MJL") * 100</f>
        <v>#REF!</v>
      </c>
      <c r="BC76" s="80" t="e" cm="1">
        <f t="array" aca="1" ref="BC76" ca="1">AO76/INDIRECT("cv."&amp;LEFT($U76,6)&amp;".hhv.MJL") * 100</f>
        <v>#REF!</v>
      </c>
      <c r="BD76" s="80" t="e" cm="1">
        <f t="array" aca="1" ref="BD76" ca="1">AP76/INDIRECT("cv."&amp;LEFT($U76,6)&amp;".hhv.MJL") * 100</f>
        <v>#REF!</v>
      </c>
    </row>
    <row r="77" spans="1:61" ht="77.25" thickBot="1" x14ac:dyDescent="0.3">
      <c r="A77" s="290" t="s">
        <v>727</v>
      </c>
      <c r="B77" s="291"/>
      <c r="C77" s="292"/>
      <c r="O77" s="61" t="s">
        <v>653</v>
      </c>
      <c r="Q77" s="61" t="str">
        <f t="shared" si="7"/>
        <v/>
      </c>
      <c r="S77" s="65"/>
      <c r="T77" s="273"/>
      <c r="U77" s="277"/>
      <c r="V77" s="965"/>
      <c r="W77" s="958">
        <f t="shared" si="18"/>
        <v>0</v>
      </c>
      <c r="X77" s="959">
        <f t="shared" si="18"/>
        <v>0</v>
      </c>
      <c r="Y77" s="959">
        <f t="shared" si="18"/>
        <v>0</v>
      </c>
      <c r="Z77" s="959">
        <f t="shared" si="18"/>
        <v>0</v>
      </c>
      <c r="AA77" s="959">
        <f t="shared" si="18"/>
        <v>0</v>
      </c>
      <c r="AB77" s="959">
        <f t="shared" si="18"/>
        <v>0</v>
      </c>
      <c r="AC77" s="960">
        <f t="shared" si="18"/>
        <v>0</v>
      </c>
      <c r="AD77" s="103" t="e" cm="1">
        <f t="array" ref="AD77">IF(W77,INDEX('AEA2012 update'!$K$6:$R$104,MATCH($T77&amp;$R77,'AEA2012 update'!$A$6:$A$104&amp;'AEA2012 update'!$B$6:$B$104,0),MATCH(AD$16,'AEA2012 update'!$S$4:$Z$4,0)),INDEX('AEA2012 update'!$K$6:$R$104,MATCH($T77&amp;$U77,'AEA2012 update'!$A$6:$A$104&amp;'AEA2012 update'!$B$6:$B$104,0),MATCH(AD$16,'AEA2012 update'!$S$4:$Z$4,0)))</f>
        <v>#N/A</v>
      </c>
      <c r="AE77" s="103" t="e" cm="1">
        <f t="array" ref="AE77">IF(X77,INDEX('AEA2012 update'!$K$6:$R$104,MATCH($T77&amp;$R77,'AEA2012 update'!$A$6:$A$104&amp;'AEA2012 update'!$B$6:$B$104,0),MATCH(AE$16,'AEA2012 update'!$S$4:$Z$4,0)),INDEX('AEA2012 update'!$K$6:$R$104,MATCH($T77&amp;$U77,'AEA2012 update'!$A$6:$A$104&amp;'AEA2012 update'!$B$6:$B$104,0),MATCH(AE$16,'AEA2012 update'!$S$4:$Z$4,0)))</f>
        <v>#N/A</v>
      </c>
      <c r="AF77" s="103" t="e" cm="1">
        <f t="array" ref="AF77">IF(Y77,INDEX('AEA2012 update'!$K$6:$R$104,MATCH($T77&amp;$R77,'AEA2012 update'!$A$6:$A$104&amp;'AEA2012 update'!$B$6:$B$104,0),MATCH(AF$16,'AEA2012 update'!$S$4:$Z$4,0)),INDEX('AEA2012 update'!$K$6:$R$104,MATCH($T77&amp;$U77,'AEA2012 update'!$A$6:$A$104&amp;'AEA2012 update'!$B$6:$B$104,0),MATCH(AF$16,'AEA2012 update'!$S$4:$Z$4,0)))</f>
        <v>#N/A</v>
      </c>
      <c r="AG77" s="103" t="e" cm="1">
        <f t="array" ref="AG77">IF(Z77,INDEX('AEA2012 update'!$K$6:$R$104,MATCH($T77&amp;$R77,'AEA2012 update'!$A$6:$A$104&amp;'AEA2012 update'!$B$6:$B$104,0),MATCH(AG$16,'AEA2012 update'!$S$4:$Z$4,0)),INDEX('AEA2012 update'!$K$6:$R$104,MATCH($T77&amp;$U77,'AEA2012 update'!$A$6:$A$104&amp;'AEA2012 update'!$B$6:$B$104,0),MATCH(AG$16,'AEA2012 update'!$S$4:$Z$4,0)))</f>
        <v>#N/A</v>
      </c>
      <c r="AH77" s="103" t="e" cm="1">
        <f t="array" ref="AH77">IF(AA77,INDEX('AEA2012 update'!$K$6:$R$104,MATCH($T77&amp;$R77,'AEA2012 update'!$A$6:$A$104&amp;'AEA2012 update'!$B$6:$B$104,0),MATCH(AH$16,'AEA2012 update'!$S$4:$Z$4,0)),INDEX('AEA2012 update'!$K$6:$R$104,MATCH($T77&amp;$U77,'AEA2012 update'!$A$6:$A$104&amp;'AEA2012 update'!$B$6:$B$104,0),MATCH(AH$16,'AEA2012 update'!$S$4:$Z$4,0)))</f>
        <v>#N/A</v>
      </c>
      <c r="AI77" s="103" t="e" cm="1">
        <f t="array" ref="AI77">IF(AB77,INDEX('AEA2012 update'!$K$6:$R$104,MATCH($T77&amp;$R77,'AEA2012 update'!$A$6:$A$104&amp;'AEA2012 update'!$B$6:$B$104,0),MATCH(AI$16,'AEA2012 update'!$S$4:$Z$4,0)),INDEX('AEA2012 update'!$K$6:$R$104,MATCH($T77&amp;$U77,'AEA2012 update'!$A$6:$A$104&amp;'AEA2012 update'!$B$6:$B$104,0),MATCH(AI$16,'AEA2012 update'!$S$4:$Z$4,0)))</f>
        <v>#N/A</v>
      </c>
      <c r="AJ77" s="103" t="e" cm="1">
        <f t="array" ref="AJ77">IF(AC77,INDEX('AEA2012 update'!$K$6:$R$104,MATCH($T77&amp;$R77,'AEA2012 update'!$A$6:$A$104&amp;'AEA2012 update'!$B$6:$B$104,0),MATCH(AJ$16,'AEA2012 update'!$S$4:$Z$4,0)),INDEX('AEA2012 update'!$K$6:$R$104,MATCH($T77&amp;$U77,'AEA2012 update'!$A$6:$A$104&amp;'AEA2012 update'!$B$6:$B$104,0),MATCH(AJ$16,'AEA2012 update'!$S$4:$Z$4,0)))</f>
        <v>#N/A</v>
      </c>
      <c r="AK77" s="103" t="str">
        <f t="shared" si="13"/>
        <v/>
      </c>
      <c r="AL77" s="67" t="e">
        <f>1/INDEX(Analytica!$AA$17:$AE$48,MATCH($AK77,Analytica!$A$17:$A$48,0),MATCH(AL$16,Analytica!$AA$16:$AE$16,0))</f>
        <v>#N/A</v>
      </c>
      <c r="AM77" s="67" t="e">
        <f t="array" ref="AM77">IF($AE$1,AL77*(1+INDEX(AM$1:AM$2,MATCH($O77,$AI$1:$AI$2,0)))^(AM$16-AL$16),INDEX('AEA2012 update'!$AC$6:$AG$104,MATCH($T77&amp;$U77,'AEA2012 update'!$A$6:$A$104&amp;'AEA2012 update'!$B$6:$B$104,0),MATCH(AM$16,'AEA2012 update'!$AC$4:$AG$4,0)))</f>
        <v>#N/A</v>
      </c>
      <c r="AN77" s="67" t="e">
        <f t="array" ref="AN77">IF($AE$1,AM77*(1+INDEX(AN$1:AN$2,MATCH($O77,$AI$1:$AI$2,0)))^(AN$16-AM$16),INDEX('AEA2012 update'!$AC$6:$AG$104,MATCH($T77&amp;$U77,'AEA2012 update'!$A$6:$A$104&amp;'AEA2012 update'!$B$6:$B$104,0),MATCH(AN$16,'AEA2012 update'!$AC$4:$AG$4,0)))</f>
        <v>#N/A</v>
      </c>
      <c r="AO77" s="67" t="e">
        <f t="array" ref="AO77">IF($AE$1,AN77*(1+INDEX(AO$1:AO$2,MATCH($O77,$AI$1:$AI$2,0)))^(AO$16-AN$16),INDEX('AEA2012 update'!$AC$6:$AG$104,MATCH($T77&amp;$U77,'AEA2012 update'!$A$6:$A$104&amp;'AEA2012 update'!$B$6:$B$104,0),MATCH(AO$16,'AEA2012 update'!$AC$4:$AG$4,0)))</f>
        <v>#N/A</v>
      </c>
      <c r="AP77" s="67" t="e">
        <f t="array" ref="AP77">IF($AE$1,AO77*(1+INDEX(AP$1:AP$2,MATCH($O77,$AI$1:$AI$2,0)))^(AP$16-AO$16),INDEX('AEA2012 update'!$AC$6:$AG$104,MATCH($T77&amp;$U77,'AEA2012 update'!$A$6:$A$104&amp;'AEA2012 update'!$B$6:$B$104,0),MATCH(AP$16,'AEA2012 update'!$AC$4:$AG$4,0)))</f>
        <v>#N/A</v>
      </c>
      <c r="AQ77" s="67"/>
      <c r="AR77" s="274" t="e">
        <f t="shared" si="10"/>
        <v>#N/A</v>
      </c>
      <c r="AS77" s="274" t="e">
        <f t="shared" si="11"/>
        <v>#N/A</v>
      </c>
      <c r="AY77" s="61" t="str">
        <f t="shared" si="12"/>
        <v>-</v>
      </c>
      <c r="AZ77" s="80" t="e" cm="1">
        <f t="array" aca="1" ref="AZ77" ca="1">AL77/INDIRECT("cv."&amp;LEFT($U77,6)&amp;".hhv.MJL") * 100</f>
        <v>#N/A</v>
      </c>
      <c r="BA77" s="80" t="e" cm="1">
        <f t="array" aca="1" ref="BA77" ca="1">AM77/INDIRECT("cv."&amp;LEFT($U77,6)&amp;".hhv.MJL") * 100</f>
        <v>#N/A</v>
      </c>
      <c r="BB77" s="80" t="e" cm="1">
        <f t="array" aca="1" ref="BB77" ca="1">AN77/INDIRECT("cv."&amp;LEFT($U77,6)&amp;".hhv.MJL") * 100</f>
        <v>#N/A</v>
      </c>
      <c r="BC77" s="80" t="e" cm="1">
        <f t="array" aca="1" ref="BC77" ca="1">AO77/INDIRECT("cv."&amp;LEFT($U77,6)&amp;".hhv.MJL") * 100</f>
        <v>#N/A</v>
      </c>
      <c r="BD77" s="80" t="e" cm="1">
        <f t="array" aca="1" ref="BD77" ca="1">AP77/INDIRECT("cv."&amp;LEFT($U77,6)&amp;".hhv.MJL") * 100</f>
        <v>#N/A</v>
      </c>
    </row>
    <row r="78" spans="1:61" x14ac:dyDescent="0.25">
      <c r="N78" s="61" t="s">
        <v>511</v>
      </c>
      <c r="O78" s="61" t="s">
        <v>653</v>
      </c>
      <c r="P78" s="61" t="s">
        <v>728</v>
      </c>
      <c r="Q78" s="61" t="str">
        <f t="shared" si="7"/>
        <v>CV2</v>
      </c>
      <c r="R78" s="61" t="s">
        <v>687</v>
      </c>
      <c r="S78" s="65"/>
      <c r="T78" s="273" t="s">
        <v>725</v>
      </c>
      <c r="U78" s="957" t="s">
        <v>687</v>
      </c>
      <c r="V78" s="965"/>
      <c r="W78" s="958">
        <f t="shared" si="18"/>
        <v>0</v>
      </c>
      <c r="X78" s="959">
        <f t="shared" si="18"/>
        <v>0</v>
      </c>
      <c r="Y78" s="959">
        <f t="shared" si="18"/>
        <v>0</v>
      </c>
      <c r="Z78" s="959">
        <f t="shared" si="18"/>
        <v>0</v>
      </c>
      <c r="AA78" s="959">
        <f t="shared" si="18"/>
        <v>0</v>
      </c>
      <c r="AB78" s="959">
        <f t="shared" si="18"/>
        <v>0</v>
      </c>
      <c r="AC78" s="960">
        <f t="shared" si="18"/>
        <v>0</v>
      </c>
      <c r="AD78" s="103" cm="1">
        <f t="array" ref="AD78">IF(W78,INDEX('AEA2012 update'!$K$6:$R$104,MATCH($T78&amp;$R78,'AEA2012 update'!$A$6:$A$104&amp;'AEA2012 update'!$B$6:$B$104,0),MATCH(AD$16,'AEA2012 update'!$S$4:$Z$4,0)),INDEX('AEA2012 update'!$K$6:$R$104,MATCH($T78&amp;$U78,'AEA2012 update'!$A$6:$A$104&amp;'AEA2012 update'!$B$6:$B$104,0),MATCH(AD$16,'AEA2012 update'!$S$4:$Z$4,0)))</f>
        <v>396204.1631410002</v>
      </c>
      <c r="AE78" s="103" cm="1">
        <f t="array" ref="AE78">IF(X78,INDEX('AEA2012 update'!$K$6:$R$104,MATCH($T78&amp;$R78,'AEA2012 update'!$A$6:$A$104&amp;'AEA2012 update'!$B$6:$B$104,0),MATCH(AE$16,'AEA2012 update'!$S$4:$Z$4,0)),INDEX('AEA2012 update'!$K$6:$R$104,MATCH($T78&amp;$U78,'AEA2012 update'!$A$6:$A$104&amp;'AEA2012 update'!$B$6:$B$104,0),MATCH(AE$16,'AEA2012 update'!$S$4:$Z$4,0)))</f>
        <v>476747.78352540621</v>
      </c>
      <c r="AF78" s="103" cm="1">
        <f t="array" ref="AF78">IF(Y78,INDEX('AEA2012 update'!$K$6:$R$104,MATCH($T78&amp;$R78,'AEA2012 update'!$A$6:$A$104&amp;'AEA2012 update'!$B$6:$B$104,0),MATCH(AF$16,'AEA2012 update'!$S$4:$Z$4,0)),INDEX('AEA2012 update'!$K$6:$R$104,MATCH($T78&amp;$U78,'AEA2012 update'!$A$6:$A$104&amp;'AEA2012 update'!$B$6:$B$104,0),MATCH(AF$16,'AEA2012 update'!$S$4:$Z$4,0)))</f>
        <v>491831.97524024436</v>
      </c>
      <c r="AG78" s="103" cm="1">
        <f t="array" ref="AG78">IF(Z78,INDEX('AEA2012 update'!$K$6:$R$104,MATCH($T78&amp;$R78,'AEA2012 update'!$A$6:$A$104&amp;'AEA2012 update'!$B$6:$B$104,0),MATCH(AG$16,'AEA2012 update'!$S$4:$Z$4,0)),INDEX('AEA2012 update'!$K$6:$R$104,MATCH($T78&amp;$U78,'AEA2012 update'!$A$6:$A$104&amp;'AEA2012 update'!$B$6:$B$104,0),MATCH(AG$16,'AEA2012 update'!$S$4:$Z$4,0)))</f>
        <v>506916.16695508256</v>
      </c>
      <c r="AH78" s="103" cm="1">
        <f t="array" ref="AH78">IF(AA78,INDEX('AEA2012 update'!$K$6:$R$104,MATCH($T78&amp;$R78,'AEA2012 update'!$A$6:$A$104&amp;'AEA2012 update'!$B$6:$B$104,0),MATCH(AH$16,'AEA2012 update'!$S$4:$Z$4,0)),INDEX('AEA2012 update'!$K$6:$R$104,MATCH($T78&amp;$U78,'AEA2012 update'!$A$6:$A$104&amp;'AEA2012 update'!$B$6:$B$104,0),MATCH(AH$16,'AEA2012 update'!$S$4:$Z$4,0)))</f>
        <v>520424.31194208184</v>
      </c>
      <c r="AI78" s="103" cm="1">
        <f t="array" ref="AI78">IF(AB78,INDEX('AEA2012 update'!$K$6:$R$104,MATCH($T78&amp;$R78,'AEA2012 update'!$A$6:$A$104&amp;'AEA2012 update'!$B$6:$B$104,0),MATCH(AI$16,'AEA2012 update'!$S$4:$Z$4,0)),INDEX('AEA2012 update'!$K$6:$R$104,MATCH($T78&amp;$U78,'AEA2012 update'!$A$6:$A$104&amp;'AEA2012 update'!$B$6:$B$104,0),MATCH(AI$16,'AEA2012 update'!$S$4:$Z$4,0)))</f>
        <v>533932.45692908112</v>
      </c>
      <c r="AJ78" s="103" cm="1">
        <f t="array" ref="AJ78">IF(AC78,INDEX('AEA2012 update'!$K$6:$R$104,MATCH($T78&amp;$R78,'AEA2012 update'!$A$6:$A$104&amp;'AEA2012 update'!$B$6:$B$104,0),MATCH(AJ$16,'AEA2012 update'!$S$4:$Z$4,0)),INDEX('AEA2012 update'!$K$6:$R$104,MATCH($T78&amp;$U78,'AEA2012 update'!$A$6:$A$104&amp;'AEA2012 update'!$B$6:$B$104,0),MATCH(AJ$16,'AEA2012 update'!$S$4:$Z$4,0)))</f>
        <v>551671.18115070788</v>
      </c>
      <c r="AK78" s="103" t="str">
        <f t="shared" si="13"/>
        <v>CV2ODS</v>
      </c>
      <c r="AL78" s="67">
        <f>1/INDEX(Analytica!$AA$17:$AE$48,MATCH($AK78,Analytica!$A$17:$A$48,0),MATCH(AL$16,Analytica!$AA$16:$AE$16,0))</f>
        <v>7.3296679530566031</v>
      </c>
      <c r="AM78" s="67">
        <f t="array" ref="AM78">IF($AE$1,AL78*(1+INDEX(AM$1:AM$2,MATCH($O78,$AI$1:$AI$2,0)))^(AM$16-AL$16),INDEX('AEA2012 update'!$AC$6:$AG$104,MATCH($T78&amp;$U78,'AEA2012 update'!$A$6:$A$104&amp;'AEA2012 update'!$B$6:$B$104,0),MATCH(AM$16,'AEA2012 update'!$AC$4:$AG$4,0)))</f>
        <v>7.3077009308716248</v>
      </c>
      <c r="AN78" s="67">
        <f t="array" ref="AN78">IF($AE$1,AM78*(1+INDEX(AN$1:AN$2,MATCH($O78,$AI$1:$AI$2,0)))^(AN$16-AM$16),INDEX('AEA2012 update'!$AC$6:$AG$104,MATCH($T78&amp;$U78,'AEA2012 update'!$A$6:$A$104&amp;'AEA2012 update'!$B$6:$B$104,0),MATCH(AN$16,'AEA2012 update'!$AC$4:$AG$4,0)))</f>
        <v>6.9155804843615609</v>
      </c>
      <c r="AO78" s="67">
        <f t="array" ref="AO78">IF($AE$1,AN78*(1+INDEX(AO$1:AO$2,MATCH($O78,$AI$1:$AI$2,0)))^(AO$16-AN$16),INDEX('AEA2012 update'!$AC$6:$AG$104,MATCH($T78&amp;$U78,'AEA2012 update'!$A$6:$A$104&amp;'AEA2012 update'!$B$6:$B$104,0),MATCH(AO$16,'AEA2012 update'!$AC$4:$AG$4,0)))</f>
        <v>6.2543270283373005</v>
      </c>
      <c r="AP78" s="67">
        <f t="array" ref="AP78">IF($AE$1,AO78*(1+INDEX(AP$1:AP$2,MATCH($O78,$AI$1:$AI$2,0)))^(AP$16-AO$16),INDEX('AEA2012 update'!$AC$6:$AG$104,MATCH($T78&amp;$U78,'AEA2012 update'!$A$6:$A$104&amp;'AEA2012 update'!$B$6:$B$104,0),MATCH(AP$16,'AEA2012 update'!$AC$4:$AG$4,0)))</f>
        <v>5.6563012556713366</v>
      </c>
      <c r="AQ78" s="67"/>
      <c r="AR78" s="274">
        <f t="shared" si="10"/>
        <v>-9.9900033333332307E-4</v>
      </c>
      <c r="AS78" s="274">
        <f t="shared" si="11"/>
        <v>-7.5326913841620392E-3</v>
      </c>
      <c r="AY78" s="61" t="str">
        <f t="shared" si="12"/>
        <v>HCV2-ODS</v>
      </c>
      <c r="AZ78" s="80" t="e" cm="1">
        <f t="array" aca="1" ref="AZ78" ca="1">AL78/INDIRECT("cv."&amp;LEFT($U78,6)&amp;".hhv.MJL") * 100</f>
        <v>#REF!</v>
      </c>
      <c r="BA78" s="80" t="e" cm="1">
        <f t="array" aca="1" ref="BA78" ca="1">AM78/INDIRECT("cv."&amp;LEFT($U78,6)&amp;".hhv.MJL") * 100</f>
        <v>#REF!</v>
      </c>
      <c r="BB78" s="80" t="e" cm="1">
        <f t="array" aca="1" ref="BB78" ca="1">AN78/INDIRECT("cv."&amp;LEFT($U78,6)&amp;".hhv.MJL") * 100</f>
        <v>#REF!</v>
      </c>
      <c r="BC78" s="80" t="e" cm="1">
        <f t="array" aca="1" ref="BC78" ca="1">AO78/INDIRECT("cv."&amp;LEFT($U78,6)&amp;".hhv.MJL") * 100</f>
        <v>#REF!</v>
      </c>
      <c r="BD78" s="80" t="e" cm="1">
        <f t="array" aca="1" ref="BD78" ca="1">AP78/INDIRECT("cv."&amp;LEFT($U78,6)&amp;".hhv.MJL") * 100</f>
        <v>#REF!</v>
      </c>
    </row>
    <row r="79" spans="1:61" x14ac:dyDescent="0.25">
      <c r="N79" s="61" t="s">
        <v>501</v>
      </c>
      <c r="O79" s="61" t="s">
        <v>653</v>
      </c>
      <c r="P79" s="61" t="s">
        <v>728</v>
      </c>
      <c r="Q79" s="61" t="str">
        <f t="shared" si="7"/>
        <v>CV2</v>
      </c>
      <c r="R79" s="61" t="s">
        <v>687</v>
      </c>
      <c r="S79" s="65"/>
      <c r="T79" s="273" t="s">
        <v>725</v>
      </c>
      <c r="U79" s="957" t="s">
        <v>692</v>
      </c>
      <c r="V79" s="965">
        <v>2040</v>
      </c>
      <c r="W79" s="958">
        <f t="shared" si="18"/>
        <v>0</v>
      </c>
      <c r="X79" s="959">
        <f t="shared" si="18"/>
        <v>0</v>
      </c>
      <c r="Y79" s="959">
        <f t="shared" si="18"/>
        <v>0</v>
      </c>
      <c r="Z79" s="959">
        <f t="shared" si="18"/>
        <v>0</v>
      </c>
      <c r="AA79" s="959">
        <f t="shared" si="18"/>
        <v>0</v>
      </c>
      <c r="AB79" s="959">
        <f t="shared" si="18"/>
        <v>1</v>
      </c>
      <c r="AC79" s="960">
        <f t="shared" si="18"/>
        <v>1</v>
      </c>
      <c r="AD79" s="103" cm="1">
        <f t="array" ref="AD79">IF(W79,INDEX('AEA2012 update'!$K$6:$R$104,MATCH($T79&amp;$R79,'AEA2012 update'!$A$6:$A$104&amp;'AEA2012 update'!$B$6:$B$104,0),MATCH(AD$16,'AEA2012 update'!$S$4:$Z$4,0)),INDEX('AEA2012 update'!$K$6:$R$104,MATCH($T79&amp;$U79,'AEA2012 update'!$A$6:$A$104&amp;'AEA2012 update'!$B$6:$B$104,0),MATCH(AD$16,'AEA2012 update'!$S$4:$Z$4,0)))</f>
        <v>1327792.7757726812</v>
      </c>
      <c r="AE79" s="103" cm="1">
        <f t="array" ref="AE79">IF(X79,INDEX('AEA2012 update'!$K$6:$R$104,MATCH($T79&amp;$R79,'AEA2012 update'!$A$6:$A$104&amp;'AEA2012 update'!$B$6:$B$104,0),MATCH(AE$16,'AEA2012 update'!$S$4:$Z$4,0)),INDEX('AEA2012 update'!$K$6:$R$104,MATCH($T79&amp;$U79,'AEA2012 update'!$A$6:$A$104&amp;'AEA2012 update'!$B$6:$B$104,0),MATCH(AE$16,'AEA2012 update'!$S$4:$Z$4,0)))</f>
        <v>871544.47239677189</v>
      </c>
      <c r="AF79" s="103" cm="1">
        <f t="array" ref="AF79">IF(Y79,INDEX('AEA2012 update'!$K$6:$R$104,MATCH($T79&amp;$R79,'AEA2012 update'!$A$6:$A$104&amp;'AEA2012 update'!$B$6:$B$104,0),MATCH(AF$16,'AEA2012 update'!$S$4:$Z$4,0)),INDEX('AEA2012 update'!$K$6:$R$104,MATCH($T79&amp;$U79,'AEA2012 update'!$A$6:$A$104&amp;'AEA2012 update'!$B$6:$B$104,0),MATCH(AF$16,'AEA2012 update'!$S$4:$Z$4,0)))</f>
        <v>791404.01330598292</v>
      </c>
      <c r="AG79" s="103" cm="1">
        <f t="array" ref="AG79">IF(Z79,INDEX('AEA2012 update'!$K$6:$R$104,MATCH($T79&amp;$R79,'AEA2012 update'!$A$6:$A$104&amp;'AEA2012 update'!$B$6:$B$104,0),MATCH(AG$16,'AEA2012 update'!$S$4:$Z$4,0)),INDEX('AEA2012 update'!$K$6:$R$104,MATCH($T79&amp;$U79,'AEA2012 update'!$A$6:$A$104&amp;'AEA2012 update'!$B$6:$B$104,0),MATCH(AG$16,'AEA2012 update'!$S$4:$Z$4,0)))</f>
        <v>711263.55421519373</v>
      </c>
      <c r="AH79" s="103" cm="1">
        <f t="array" ref="AH79">IF(AA79,INDEX('AEA2012 update'!$K$6:$R$104,MATCH($T79&amp;$R79,'AEA2012 update'!$A$6:$A$104&amp;'AEA2012 update'!$B$6:$B$104,0),MATCH(AH$16,'AEA2012 update'!$S$4:$Z$4,0)),INDEX('AEA2012 update'!$K$6:$R$104,MATCH($T79&amp;$U79,'AEA2012 update'!$A$6:$A$104&amp;'AEA2012 update'!$B$6:$B$104,0),MATCH(AH$16,'AEA2012 update'!$S$4:$Z$4,0)))</f>
        <v>716968.75957082282</v>
      </c>
      <c r="AI79" s="103" cm="1">
        <f t="array" ref="AI79">IF(AB79,INDEX('AEA2012 update'!$K$6:$R$104,MATCH($T79&amp;$R79,'AEA2012 update'!$A$6:$A$104&amp;'AEA2012 update'!$B$6:$B$104,0),MATCH(AI$16,'AEA2012 update'!$S$4:$Z$4,0)),INDEX('AEA2012 update'!$K$6:$R$104,MATCH($T79&amp;$U79,'AEA2012 update'!$A$6:$A$104&amp;'AEA2012 update'!$B$6:$B$104,0),MATCH(AI$16,'AEA2012 update'!$S$4:$Z$4,0)))</f>
        <v>533932.45692908112</v>
      </c>
      <c r="AJ79" s="103" cm="1">
        <f t="array" ref="AJ79">IF(AC79,INDEX('AEA2012 update'!$K$6:$R$104,MATCH($T79&amp;$R79,'AEA2012 update'!$A$6:$A$104&amp;'AEA2012 update'!$B$6:$B$104,0),MATCH(AJ$16,'AEA2012 update'!$S$4:$Z$4,0)),INDEX('AEA2012 update'!$K$6:$R$104,MATCH($T79&amp;$U79,'AEA2012 update'!$A$6:$A$104&amp;'AEA2012 update'!$B$6:$B$104,0),MATCH(AJ$16,'AEA2012 update'!$S$4:$Z$4,0)))</f>
        <v>551671.18115070788</v>
      </c>
      <c r="AK79" s="103" t="str">
        <f t="shared" si="13"/>
        <v>CV2ELC</v>
      </c>
      <c r="AL79" s="67">
        <f>INDEX('Vehicle data '!$AD$20:$AD$110,MATCH($AK79,'Vehicle data '!$AC$20:$AC$110,0))/INDEX('Vehicle data '!$AD$20:$AD$110,MATCH($AK$78,'Vehicle data '!$AC$20:$AC$110,0))*AL$78</f>
        <v>2.2385723707684386</v>
      </c>
      <c r="AM79" s="67">
        <f t="array" ref="AM79">IF($AE$1,AL79*(1+INDEX(AM$1:AM$2,MATCH($O79,$AI$1:$AI$2,0)))^(AM$16-AL$16),INDEX('AEA2012 update'!$AC$6:$AG$104,MATCH($T79&amp;$U79,'AEA2012 update'!$A$6:$A$104&amp;'AEA2012 update'!$B$6:$B$104,0),MATCH(AM$16,'AEA2012 update'!$AC$4:$AG$4,0)))</f>
        <v>2.231863367134673</v>
      </c>
      <c r="AN79" s="67">
        <f t="array" ref="AN79">IF($AE$1,AM79*(1+INDEX(AN$1:AN$2,MATCH($O79,$AI$1:$AI$2,0)))^(AN$16-AM$16),INDEX('AEA2012 update'!$AC$6:$AG$104,MATCH($T79&amp;$U79,'AEA2012 update'!$A$6:$A$104&amp;'AEA2012 update'!$B$6:$B$104,0),MATCH(AN$16,'AEA2012 update'!$AC$4:$AG$4,0)))</f>
        <v>2.1121048728628065</v>
      </c>
      <c r="AO79" s="67">
        <f t="array" ref="AO79">IF($AE$1,AN79*(1+INDEX(AO$1:AO$2,MATCH($O79,$AI$1:$AI$2,0)))^(AO$16-AN$16),INDEX('AEA2012 update'!$AC$6:$AG$104,MATCH($T79&amp;$U79,'AEA2012 update'!$A$6:$A$104&amp;'AEA2012 update'!$B$6:$B$104,0),MATCH(AO$16,'AEA2012 update'!$AC$4:$AG$4,0)))</f>
        <v>1.9101497875558717</v>
      </c>
      <c r="AP79" s="67">
        <f t="array" ref="AP79">IF($AE$1,AO79*(1+INDEX(AP$1:AP$2,MATCH($O79,$AI$1:$AI$2,0)))^(AP$16-AO$16),INDEX('AEA2012 update'!$AC$6:$AG$104,MATCH($T79&amp;$U79,'AEA2012 update'!$A$6:$A$104&amp;'AEA2012 update'!$B$6:$B$104,0),MATCH(AP$16,'AEA2012 update'!$AC$4:$AG$4,0)))</f>
        <v>1.7275052284474059</v>
      </c>
      <c r="AQ79" s="67"/>
      <c r="AR79" s="274">
        <f t="shared" si="10"/>
        <v>-9.9900033333336384E-4</v>
      </c>
      <c r="AS79" s="274">
        <f t="shared" si="11"/>
        <v>-7.5326913841620427E-3</v>
      </c>
      <c r="AY79" s="61" t="str">
        <f t="shared" si="12"/>
        <v>HCV2-ELC</v>
      </c>
      <c r="AZ79" s="80" t="e" cm="1">
        <f t="array" aca="1" ref="AZ79" ca="1">AL79/INDIRECT("cv."&amp;LEFT($U79,6)&amp;".hhv.MJL") * 100</f>
        <v>#REF!</v>
      </c>
      <c r="BA79" s="80" t="e" cm="1">
        <f t="array" aca="1" ref="BA79" ca="1">AM79/INDIRECT("cv."&amp;LEFT($U79,6)&amp;".hhv.MJL") * 100</f>
        <v>#REF!</v>
      </c>
      <c r="BB79" s="80" t="e" cm="1">
        <f t="array" aca="1" ref="BB79" ca="1">AN79/INDIRECT("cv."&amp;LEFT($U79,6)&amp;".hhv.MJL") * 100</f>
        <v>#REF!</v>
      </c>
      <c r="BC79" s="80" t="e" cm="1">
        <f t="array" aca="1" ref="BC79" ca="1">AO79/INDIRECT("cv."&amp;LEFT($U79,6)&amp;".hhv.MJL") * 100</f>
        <v>#REF!</v>
      </c>
      <c r="BD79" s="80" t="e" cm="1">
        <f t="array" aca="1" ref="BD79" ca="1">AP79/INDIRECT("cv."&amp;LEFT($U79,6)&amp;".hhv.MJL") * 100</f>
        <v>#REF!</v>
      </c>
    </row>
    <row r="80" spans="1:61" x14ac:dyDescent="0.25">
      <c r="A80" s="61" t="s">
        <v>729</v>
      </c>
      <c r="N80" s="61" t="s">
        <v>504</v>
      </c>
      <c r="O80" s="61" t="s">
        <v>653</v>
      </c>
      <c r="P80" s="61" t="s">
        <v>728</v>
      </c>
      <c r="Q80" s="61" t="str">
        <f t="shared" si="7"/>
        <v>CV2</v>
      </c>
      <c r="R80" s="61" t="s">
        <v>687</v>
      </c>
      <c r="S80" s="65"/>
      <c r="T80" s="273" t="s">
        <v>725</v>
      </c>
      <c r="U80" s="957" t="s">
        <v>699</v>
      </c>
      <c r="V80" s="965">
        <v>2050</v>
      </c>
      <c r="W80" s="958">
        <f t="shared" si="18"/>
        <v>0</v>
      </c>
      <c r="X80" s="959">
        <f t="shared" si="18"/>
        <v>0</v>
      </c>
      <c r="Y80" s="959">
        <f t="shared" si="18"/>
        <v>0</v>
      </c>
      <c r="Z80" s="959">
        <f t="shared" si="18"/>
        <v>0</v>
      </c>
      <c r="AA80" s="959">
        <f t="shared" si="18"/>
        <v>0</v>
      </c>
      <c r="AB80" s="959">
        <f t="shared" si="18"/>
        <v>0</v>
      </c>
      <c r="AC80" s="960">
        <f t="shared" si="18"/>
        <v>1</v>
      </c>
      <c r="AD80" s="103" cm="1">
        <f t="array" ref="AD80">IF(W80,INDEX('AEA2012 update'!$K$6:$R$104,MATCH($T80&amp;$R80,'AEA2012 update'!$A$6:$A$104&amp;'AEA2012 update'!$B$6:$B$104,0),MATCH(AD$16,'AEA2012 update'!$S$4:$Z$4,0)),INDEX('AEA2012 update'!$K$6:$R$104,MATCH($T80&amp;$U80,'AEA2012 update'!$A$6:$A$104&amp;'AEA2012 update'!$B$6:$B$104,0),MATCH(AD$16,'AEA2012 update'!$S$4:$Z$4,0)))</f>
        <v>2522990.6381765995</v>
      </c>
      <c r="AE80" s="103" cm="1">
        <f t="array" ref="AE80">IF(X80,INDEX('AEA2012 update'!$K$6:$R$104,MATCH($T80&amp;$R80,'AEA2012 update'!$A$6:$A$104&amp;'AEA2012 update'!$B$6:$B$104,0),MATCH(AE$16,'AEA2012 update'!$S$4:$Z$4,0)),INDEX('AEA2012 update'!$K$6:$R$104,MATCH($T80&amp;$U80,'AEA2012 update'!$A$6:$A$104&amp;'AEA2012 update'!$B$6:$B$104,0),MATCH(AE$16,'AEA2012 update'!$S$4:$Z$4,0)))</f>
        <v>1080982.7502171779</v>
      </c>
      <c r="AF80" s="103" cm="1">
        <f t="array" ref="AF80">IF(Y80,INDEX('AEA2012 update'!$K$6:$R$104,MATCH($T80&amp;$R80,'AEA2012 update'!$A$6:$A$104&amp;'AEA2012 update'!$B$6:$B$104,0),MATCH(AF$16,'AEA2012 update'!$S$4:$Z$4,0)),INDEX('AEA2012 update'!$K$6:$R$104,MATCH($T80&amp;$U80,'AEA2012 update'!$A$6:$A$104&amp;'AEA2012 update'!$B$6:$B$104,0),MATCH(AF$16,'AEA2012 update'!$S$4:$Z$4,0)))</f>
        <v>851672.91194386315</v>
      </c>
      <c r="AG80" s="103" cm="1">
        <f t="array" ref="AG80">IF(Z80,INDEX('AEA2012 update'!$K$6:$R$104,MATCH($T80&amp;$R80,'AEA2012 update'!$A$6:$A$104&amp;'AEA2012 update'!$B$6:$B$104,0),MATCH(AG$16,'AEA2012 update'!$S$4:$Z$4,0)),INDEX('AEA2012 update'!$K$6:$R$104,MATCH($T80&amp;$U80,'AEA2012 update'!$A$6:$A$104&amp;'AEA2012 update'!$B$6:$B$104,0),MATCH(AG$16,'AEA2012 update'!$S$4:$Z$4,0)))</f>
        <v>622363.07367054839</v>
      </c>
      <c r="AH80" s="103" cm="1">
        <f t="array" ref="AH80">IF(AA80,INDEX('AEA2012 update'!$K$6:$R$104,MATCH($T80&amp;$R80,'AEA2012 update'!$A$6:$A$104&amp;'AEA2012 update'!$B$6:$B$104,0),MATCH(AH$16,'AEA2012 update'!$S$4:$Z$4,0)),INDEX('AEA2012 update'!$K$6:$R$104,MATCH($T80&amp;$U80,'AEA2012 update'!$A$6:$A$104&amp;'AEA2012 update'!$B$6:$B$104,0),MATCH(AH$16,'AEA2012 update'!$S$4:$Z$4,0)))</f>
        <v>593958.67654201027</v>
      </c>
      <c r="AI80" s="103" cm="1">
        <f t="array" ref="AI80">IF(AB80,INDEX('AEA2012 update'!$K$6:$R$104,MATCH($T80&amp;$R80,'AEA2012 update'!$A$6:$A$104&amp;'AEA2012 update'!$B$6:$B$104,0),MATCH(AI$16,'AEA2012 update'!$S$4:$Z$4,0)),INDEX('AEA2012 update'!$K$6:$R$104,MATCH($T80&amp;$U80,'AEA2012 update'!$A$6:$A$104&amp;'AEA2012 update'!$B$6:$B$104,0),MATCH(AI$16,'AEA2012 update'!$S$4:$Z$4,0)))</f>
        <v>565554.27941347216</v>
      </c>
      <c r="AJ80" s="103" cm="1">
        <f t="array" ref="AJ80">IF(AC80,INDEX('AEA2012 update'!$K$6:$R$104,MATCH($T80&amp;$R80,'AEA2012 update'!$A$6:$A$104&amp;'AEA2012 update'!$B$6:$B$104,0),MATCH(AJ$16,'AEA2012 update'!$S$4:$Z$4,0)),INDEX('AEA2012 update'!$K$6:$R$104,MATCH($T80&amp;$U80,'AEA2012 update'!$A$6:$A$104&amp;'AEA2012 update'!$B$6:$B$104,0),MATCH(AJ$16,'AEA2012 update'!$S$4:$Z$4,0)))</f>
        <v>551671.18115070788</v>
      </c>
      <c r="AK80" s="103" t="str">
        <f t="shared" si="13"/>
        <v>CV2HGN</v>
      </c>
      <c r="AL80" s="67">
        <f>INDEX('Vehicle data '!$AD$20:$AD$110,MATCH($AK80,'Vehicle data '!$AC$20:$AC$110,0))/INDEX('Vehicle data '!$AD$20:$AD$110,MATCH($AK$78,'Vehicle data '!$AC$20:$AC$110,0))*AL$78</f>
        <v>3.4560415548705712</v>
      </c>
      <c r="AM80" s="67">
        <f t="array" ref="AM80">IF($AE$1,AL80*(1+INDEX(AM$1:AM$2,MATCH($O80,$AI$1:$AI$2,0)))^(AM$16-AL$16),INDEX('AEA2012 update'!$AC$6:$AG$104,MATCH($T80&amp;$U80,'AEA2012 update'!$A$6:$A$104&amp;'AEA2012 update'!$B$6:$B$104,0),MATCH(AM$16,'AEA2012 update'!$AC$4:$AG$4,0)))</f>
        <v>3.4456837948745824</v>
      </c>
      <c r="AN80" s="67">
        <f t="array" ref="AN80">IF($AE$1,AM80*(1+INDEX(AN$1:AN$2,MATCH($O80,$AI$1:$AI$2,0)))^(AN$16-AM$16),INDEX('AEA2012 update'!$AC$6:$AG$104,MATCH($T80&amp;$U80,'AEA2012 update'!$A$6:$A$104&amp;'AEA2012 update'!$B$6:$B$104,0),MATCH(AN$16,'AEA2012 update'!$AC$4:$AG$4,0)))</f>
        <v>3.260793487928543</v>
      </c>
      <c r="AO80" s="67">
        <f t="array" ref="AO80">IF($AE$1,AN80*(1+INDEX(AO$1:AO$2,MATCH($O80,$AI$1:$AI$2,0)))^(AO$16-AN$16),INDEX('AEA2012 update'!$AC$6:$AG$104,MATCH($T80&amp;$U80,'AEA2012 update'!$A$6:$A$104&amp;'AEA2012 update'!$B$6:$B$104,0),MATCH(AO$16,'AEA2012 update'!$AC$4:$AG$4,0)))</f>
        <v>2.9490031807880119</v>
      </c>
      <c r="AP80" s="67">
        <f t="array" ref="AP80">IF($AE$1,AO80*(1+INDEX(AP$1:AP$2,MATCH($O80,$AI$1:$AI$2,0)))^(AP$16-AO$16),INDEX('AEA2012 update'!$AC$6:$AG$104,MATCH($T80&amp;$U80,'AEA2012 update'!$A$6:$A$104&amp;'AEA2012 update'!$B$6:$B$104,0),MATCH(AP$16,'AEA2012 update'!$AC$4:$AG$4,0)))</f>
        <v>2.6670256158486261</v>
      </c>
      <c r="AQ80" s="67"/>
      <c r="AR80" s="274">
        <f t="shared" si="10"/>
        <v>-9.9900033333334302E-4</v>
      </c>
      <c r="AS80" s="274">
        <f t="shared" si="11"/>
        <v>-7.5326913841620453E-3</v>
      </c>
      <c r="AY80" s="61" t="str">
        <f t="shared" si="12"/>
        <v>HCV2-HGN</v>
      </c>
      <c r="AZ80" s="80" t="e" cm="1">
        <f t="array" aca="1" ref="AZ80" ca="1">AL80/INDIRECT("cv."&amp;LEFT($U80,6)&amp;".hhv.MJL") * 100</f>
        <v>#REF!</v>
      </c>
      <c r="BA80" s="80" t="e" cm="1">
        <f t="array" aca="1" ref="BA80" ca="1">AM80/INDIRECT("cv."&amp;LEFT($U80,6)&amp;".hhv.MJL") * 100</f>
        <v>#REF!</v>
      </c>
      <c r="BB80" s="80" t="e" cm="1">
        <f t="array" aca="1" ref="BB80" ca="1">AN80/INDIRECT("cv."&amp;LEFT($U80,6)&amp;".hhv.MJL") * 100</f>
        <v>#REF!</v>
      </c>
      <c r="BC80" s="80" t="e" cm="1">
        <f t="array" aca="1" ref="BC80" ca="1">AO80/INDIRECT("cv."&amp;LEFT($U80,6)&amp;".hhv.MJL") * 100</f>
        <v>#REF!</v>
      </c>
      <c r="BD80" s="80" t="e" cm="1">
        <f t="array" aca="1" ref="BD80" ca="1">AP80/INDIRECT("cv."&amp;LEFT($U80,6)&amp;".hhv.MJL") * 100</f>
        <v>#REF!</v>
      </c>
    </row>
    <row r="81" spans="1:56" x14ac:dyDescent="0.25">
      <c r="D81" s="61">
        <v>2012</v>
      </c>
      <c r="N81" s="61" t="s">
        <v>509</v>
      </c>
      <c r="O81" s="61" t="s">
        <v>653</v>
      </c>
      <c r="P81" s="61" t="s">
        <v>728</v>
      </c>
      <c r="Q81" s="61" t="str">
        <f t="shared" si="7"/>
        <v>CV2</v>
      </c>
      <c r="R81" s="61" t="s">
        <v>687</v>
      </c>
      <c r="S81" s="65"/>
      <c r="T81" s="273" t="s">
        <v>725</v>
      </c>
      <c r="U81" s="957" t="s">
        <v>700</v>
      </c>
      <c r="V81" s="965"/>
      <c r="W81" s="958">
        <f t="shared" si="18"/>
        <v>0</v>
      </c>
      <c r="X81" s="959">
        <f t="shared" si="18"/>
        <v>0</v>
      </c>
      <c r="Y81" s="959">
        <f t="shared" si="18"/>
        <v>0</v>
      </c>
      <c r="Z81" s="959">
        <f t="shared" si="18"/>
        <v>0</v>
      </c>
      <c r="AA81" s="959">
        <f t="shared" si="18"/>
        <v>0</v>
      </c>
      <c r="AB81" s="959">
        <f t="shared" si="18"/>
        <v>0</v>
      </c>
      <c r="AC81" s="960">
        <f t="shared" si="18"/>
        <v>0</v>
      </c>
      <c r="AD81" s="103" cm="1">
        <f t="array" ref="AD81">IF(W81,INDEX('AEA2012 update'!$K$6:$R$104,MATCH($T81&amp;$R81,'AEA2012 update'!$A$6:$A$104&amp;'AEA2012 update'!$B$6:$B$104,0),MATCH(AD$16,'AEA2012 update'!$S$4:$Z$4,0)),INDEX('AEA2012 update'!$K$6:$R$104,MATCH($T81&amp;$U81,'AEA2012 update'!$A$6:$A$104&amp;'AEA2012 update'!$B$6:$B$104,0),MATCH(AD$16,'AEA2012 update'!$S$4:$Z$4,0)))</f>
        <v>598309.30679972272</v>
      </c>
      <c r="AE81" s="103" cm="1">
        <f t="array" ref="AE81">IF(X81,INDEX('AEA2012 update'!$K$6:$R$104,MATCH($T81&amp;$R81,'AEA2012 update'!$A$6:$A$104&amp;'AEA2012 update'!$B$6:$B$104,0),MATCH(AE$16,'AEA2012 update'!$S$4:$Z$4,0)),INDEX('AEA2012 update'!$K$6:$R$104,MATCH($T81&amp;$U81,'AEA2012 update'!$A$6:$A$104&amp;'AEA2012 update'!$B$6:$B$104,0),MATCH(AE$16,'AEA2012 update'!$S$4:$Z$4,0)))</f>
        <v>588990.88834881992</v>
      </c>
      <c r="AF81" s="103" cm="1">
        <f t="array" ref="AF81">IF(Y81,INDEX('AEA2012 update'!$K$6:$R$104,MATCH($T81&amp;$R81,'AEA2012 update'!$A$6:$A$104&amp;'AEA2012 update'!$B$6:$B$104,0),MATCH(AF$16,'AEA2012 update'!$S$4:$Z$4,0)),INDEX('AEA2012 update'!$K$6:$R$104,MATCH($T81&amp;$U81,'AEA2012 update'!$A$6:$A$104&amp;'AEA2012 update'!$B$6:$B$104,0),MATCH(AF$16,'AEA2012 update'!$S$4:$Z$4,0)))</f>
        <v>591035.13773094804</v>
      </c>
      <c r="AG81" s="103" cm="1">
        <f t="array" ref="AG81">IF(Z81,INDEX('AEA2012 update'!$K$6:$R$104,MATCH($T81&amp;$R81,'AEA2012 update'!$A$6:$A$104&amp;'AEA2012 update'!$B$6:$B$104,0),MATCH(AG$16,'AEA2012 update'!$S$4:$Z$4,0)),INDEX('AEA2012 update'!$K$6:$R$104,MATCH($T81&amp;$U81,'AEA2012 update'!$A$6:$A$104&amp;'AEA2012 update'!$B$6:$B$104,0),MATCH(AG$16,'AEA2012 update'!$S$4:$Z$4,0)))</f>
        <v>593079.38711307617</v>
      </c>
      <c r="AH81" s="103" cm="1">
        <f t="array" ref="AH81">IF(AA81,INDEX('AEA2012 update'!$K$6:$R$104,MATCH($T81&amp;$R81,'AEA2012 update'!$A$6:$A$104&amp;'AEA2012 update'!$B$6:$B$104,0),MATCH(AH$16,'AEA2012 update'!$S$4:$Z$4,0)),INDEX('AEA2012 update'!$K$6:$R$104,MATCH($T81&amp;$U81,'AEA2012 update'!$A$6:$A$104&amp;'AEA2012 update'!$B$6:$B$104,0),MATCH(AH$16,'AEA2012 update'!$S$4:$Z$4,0)))</f>
        <v>599603.08321858256</v>
      </c>
      <c r="AI81" s="103" cm="1">
        <f t="array" ref="AI81">IF(AB81,INDEX('AEA2012 update'!$K$6:$R$104,MATCH($T81&amp;$R81,'AEA2012 update'!$A$6:$A$104&amp;'AEA2012 update'!$B$6:$B$104,0),MATCH(AI$16,'AEA2012 update'!$S$4:$Z$4,0)),INDEX('AEA2012 update'!$K$6:$R$104,MATCH($T81&amp;$U81,'AEA2012 update'!$A$6:$A$104&amp;'AEA2012 update'!$B$6:$B$104,0),MATCH(AI$16,'AEA2012 update'!$S$4:$Z$4,0)))</f>
        <v>606126.77932408883</v>
      </c>
      <c r="AJ81" s="103" cm="1">
        <f t="array" ref="AJ81">IF(AC81,INDEX('AEA2012 update'!$K$6:$R$104,MATCH($T81&amp;$R81,'AEA2012 update'!$A$6:$A$104&amp;'AEA2012 update'!$B$6:$B$104,0),MATCH(AJ$16,'AEA2012 update'!$S$4:$Z$4,0)),INDEX('AEA2012 update'!$K$6:$R$104,MATCH($T81&amp;$U81,'AEA2012 update'!$A$6:$A$104&amp;'AEA2012 update'!$B$6:$B$104,0),MATCH(AJ$16,'AEA2012 update'!$S$4:$Z$4,0)))</f>
        <v>615221.77787460363</v>
      </c>
      <c r="AK81" s="103" t="str">
        <f t="shared" si="13"/>
        <v>CV2GAS</v>
      </c>
      <c r="AL81" s="67">
        <f>INDEX('Vehicle data '!$AD$20:$AD$110,MATCH($AK81,'Vehicle data '!$AC$20:$AC$110,0))/INDEX('Vehicle data '!$AD$20:$AD$110,MATCH($AK$78,'Vehicle data '!$AC$20:$AC$110,0))*AL$78</f>
        <v>8.4291181460150923</v>
      </c>
      <c r="AM81" s="67">
        <f t="array" ref="AM81">IF($AE$1,AL81*(1+INDEX(AM$1:AM$2,MATCH($O81,$AI$1:$AI$2,0)))^(AM$16-AL$16),INDEX('AEA2012 update'!$AC$6:$AG$104,MATCH($T81&amp;$U81,'AEA2012 update'!$A$6:$A$104&amp;'AEA2012 update'!$B$6:$B$104,0),MATCH(AM$16,'AEA2012 update'!$AC$4:$AG$4,0)))</f>
        <v>8.4038560705023677</v>
      </c>
      <c r="AN81" s="67">
        <f t="array" ref="AN81">IF($AE$1,AM81*(1+INDEX(AN$1:AN$2,MATCH($O81,$AI$1:$AI$2,0)))^(AN$16-AM$16),INDEX('AEA2012 update'!$AC$6:$AG$104,MATCH($T81&amp;$U81,'AEA2012 update'!$A$6:$A$104&amp;'AEA2012 update'!$B$6:$B$104,0),MATCH(AN$16,'AEA2012 update'!$AC$4:$AG$4,0)))</f>
        <v>7.9529175570157946</v>
      </c>
      <c r="AO81" s="67">
        <f t="array" ref="AO81">IF($AE$1,AN81*(1+INDEX(AO$1:AO$2,MATCH($O81,$AI$1:$AI$2,0)))^(AO$16-AN$16),INDEX('AEA2012 update'!$AC$6:$AG$104,MATCH($T81&amp;$U81,'AEA2012 update'!$A$6:$A$104&amp;'AEA2012 update'!$B$6:$B$104,0),MATCH(AO$16,'AEA2012 update'!$AC$4:$AG$4,0)))</f>
        <v>7.1924760825878948</v>
      </c>
      <c r="AP81" s="67">
        <f t="array" ref="AP81">IF($AE$1,AO81*(1+INDEX(AP$1:AP$2,MATCH($O81,$AI$1:$AI$2,0)))^(AP$16-AO$16),INDEX('AEA2012 update'!$AC$6:$AG$104,MATCH($T81&amp;$U81,'AEA2012 update'!$A$6:$A$104&amp;'AEA2012 update'!$B$6:$B$104,0),MATCH(AP$16,'AEA2012 update'!$AC$4:$AG$4,0)))</f>
        <v>6.5047464440220368</v>
      </c>
      <c r="AQ81" s="67"/>
      <c r="AR81" s="274">
        <f t="shared" si="10"/>
        <v>-9.9900033333330399E-4</v>
      </c>
      <c r="AS81" s="274">
        <f t="shared" si="11"/>
        <v>-7.5326913841620383E-3</v>
      </c>
      <c r="AY81" s="61" t="str">
        <f t="shared" si="12"/>
        <v>HCV2-GAS</v>
      </c>
      <c r="AZ81" s="80" t="e" cm="1">
        <f t="array" aca="1" ref="AZ81" ca="1">AL81/INDIRECT("cv."&amp;LEFT($U81,6)&amp;".hhv.MJL") * 100</f>
        <v>#REF!</v>
      </c>
      <c r="BA81" s="80" t="e" cm="1">
        <f t="array" aca="1" ref="BA81" ca="1">AM81/INDIRECT("cv."&amp;LEFT($U81,6)&amp;".hhv.MJL") * 100</f>
        <v>#REF!</v>
      </c>
      <c r="BB81" s="80" t="e" cm="1">
        <f t="array" aca="1" ref="BB81" ca="1">AN81/INDIRECT("cv."&amp;LEFT($U81,6)&amp;".hhv.MJL") * 100</f>
        <v>#REF!</v>
      </c>
      <c r="BC81" s="80" t="e" cm="1">
        <f t="array" aca="1" ref="BC81" ca="1">AO81/INDIRECT("cv."&amp;LEFT($U81,6)&amp;".hhv.MJL") * 100</f>
        <v>#REF!</v>
      </c>
      <c r="BD81" s="80" t="e" cm="1">
        <f t="array" aca="1" ref="BD81" ca="1">AP81/INDIRECT("cv."&amp;LEFT($U81,6)&amp;".hhv.MJL") * 100</f>
        <v>#REF!</v>
      </c>
    </row>
    <row r="82" spans="1:56" x14ac:dyDescent="0.25">
      <c r="A82" s="61" t="s">
        <v>730</v>
      </c>
      <c r="C82" s="293">
        <f>SUM(C68:C75)</f>
        <v>7.6563798690686316E-2</v>
      </c>
      <c r="D82" s="294">
        <f>D58-D91</f>
        <v>0</v>
      </c>
      <c r="O82" s="61" t="s">
        <v>653</v>
      </c>
      <c r="Q82" s="61" t="str">
        <f t="shared" si="7"/>
        <v/>
      </c>
      <c r="S82" s="65"/>
      <c r="T82" s="273"/>
      <c r="V82" s="965"/>
      <c r="W82" s="961">
        <f t="shared" si="18"/>
        <v>0</v>
      </c>
      <c r="X82" s="962">
        <f t="shared" si="18"/>
        <v>0</v>
      </c>
      <c r="Y82" s="962">
        <f t="shared" si="18"/>
        <v>0</v>
      </c>
      <c r="Z82" s="962">
        <f t="shared" si="18"/>
        <v>0</v>
      </c>
      <c r="AA82" s="962">
        <f t="shared" si="18"/>
        <v>0</v>
      </c>
      <c r="AB82" s="962">
        <f t="shared" si="18"/>
        <v>0</v>
      </c>
      <c r="AC82" s="963">
        <f t="shared" si="18"/>
        <v>0</v>
      </c>
      <c r="AD82" s="103" t="e" cm="1">
        <f t="array" ref="AD82">IF(W82,INDEX('AEA2012 update'!$K$6:$R$104,MATCH($T82&amp;$R82,'AEA2012 update'!$A$6:$A$104&amp;'AEA2012 update'!$B$6:$B$104,0),MATCH(AD$16,'AEA2012 update'!$S$4:$Z$4,0)),INDEX('AEA2012 update'!$K$6:$R$104,MATCH($T82&amp;$U82,'AEA2012 update'!$A$6:$A$104&amp;'AEA2012 update'!$B$6:$B$104,0),MATCH(AD$16,'AEA2012 update'!$S$4:$Z$4,0)))</f>
        <v>#N/A</v>
      </c>
      <c r="AE82" s="103" t="e" cm="1">
        <f t="array" ref="AE82">IF(X82,INDEX('AEA2012 update'!$K$6:$R$104,MATCH($T82&amp;$R82,'AEA2012 update'!$A$6:$A$104&amp;'AEA2012 update'!$B$6:$B$104,0),MATCH(AE$16,'AEA2012 update'!$S$4:$Z$4,0)),INDEX('AEA2012 update'!$K$6:$R$104,MATCH($T82&amp;$U82,'AEA2012 update'!$A$6:$A$104&amp;'AEA2012 update'!$B$6:$B$104,0),MATCH(AE$16,'AEA2012 update'!$S$4:$Z$4,0)))</f>
        <v>#N/A</v>
      </c>
      <c r="AF82" s="103" t="e" cm="1">
        <f t="array" ref="AF82">IF(Y82,INDEX('AEA2012 update'!$K$6:$R$104,MATCH($T82&amp;$R82,'AEA2012 update'!$A$6:$A$104&amp;'AEA2012 update'!$B$6:$B$104,0),MATCH(AF$16,'AEA2012 update'!$S$4:$Z$4,0)),INDEX('AEA2012 update'!$K$6:$R$104,MATCH($T82&amp;$U82,'AEA2012 update'!$A$6:$A$104&amp;'AEA2012 update'!$B$6:$B$104,0),MATCH(AF$16,'AEA2012 update'!$S$4:$Z$4,0)))</f>
        <v>#N/A</v>
      </c>
      <c r="AG82" s="103" t="e" cm="1">
        <f t="array" ref="AG82">IF(Z82,INDEX('AEA2012 update'!$K$6:$R$104,MATCH($T82&amp;$R82,'AEA2012 update'!$A$6:$A$104&amp;'AEA2012 update'!$B$6:$B$104,0),MATCH(AG$16,'AEA2012 update'!$S$4:$Z$4,0)),INDEX('AEA2012 update'!$K$6:$R$104,MATCH($T82&amp;$U82,'AEA2012 update'!$A$6:$A$104&amp;'AEA2012 update'!$B$6:$B$104,0),MATCH(AG$16,'AEA2012 update'!$S$4:$Z$4,0)))</f>
        <v>#N/A</v>
      </c>
      <c r="AH82" s="103" t="e" cm="1">
        <f t="array" ref="AH82">IF(AA82,INDEX('AEA2012 update'!$K$6:$R$104,MATCH($T82&amp;$R82,'AEA2012 update'!$A$6:$A$104&amp;'AEA2012 update'!$B$6:$B$104,0),MATCH(AH$16,'AEA2012 update'!$S$4:$Z$4,0)),INDEX('AEA2012 update'!$K$6:$R$104,MATCH($T82&amp;$U82,'AEA2012 update'!$A$6:$A$104&amp;'AEA2012 update'!$B$6:$B$104,0),MATCH(AH$16,'AEA2012 update'!$S$4:$Z$4,0)))</f>
        <v>#N/A</v>
      </c>
      <c r="AI82" s="103" t="e" cm="1">
        <f t="array" ref="AI82">IF(AB82,INDEX('AEA2012 update'!$K$6:$R$104,MATCH($T82&amp;$R82,'AEA2012 update'!$A$6:$A$104&amp;'AEA2012 update'!$B$6:$B$104,0),MATCH(AI$16,'AEA2012 update'!$S$4:$Z$4,0)),INDEX('AEA2012 update'!$K$6:$R$104,MATCH($T82&amp;$U82,'AEA2012 update'!$A$6:$A$104&amp;'AEA2012 update'!$B$6:$B$104,0),MATCH(AI$16,'AEA2012 update'!$S$4:$Z$4,0)))</f>
        <v>#N/A</v>
      </c>
      <c r="AJ82" s="103" t="e" cm="1">
        <f t="array" ref="AJ82">IF(AC82,INDEX('AEA2012 update'!$K$6:$R$104,MATCH($T82&amp;$R82,'AEA2012 update'!$A$6:$A$104&amp;'AEA2012 update'!$B$6:$B$104,0),MATCH(AJ$16,'AEA2012 update'!$S$4:$Z$4,0)),INDEX('AEA2012 update'!$K$6:$R$104,MATCH($T82&amp;$U82,'AEA2012 update'!$A$6:$A$104&amp;'AEA2012 update'!$B$6:$B$104,0),MATCH(AJ$16,'AEA2012 update'!$S$4:$Z$4,0)))</f>
        <v>#N/A</v>
      </c>
      <c r="AK82" s="103" t="str">
        <f t="shared" si="13"/>
        <v/>
      </c>
      <c r="AL82" s="67" t="e">
        <f>1/INDEX(Analytica!$AA$17:$AE$48,MATCH($AK82,Analytica!$A$17:$A$48,0),MATCH(AL$16,Analytica!$AA$16:$AE$16,0))</f>
        <v>#N/A</v>
      </c>
      <c r="AM82" s="67" t="e">
        <f t="array" ref="AM82">IF($AE$1,AL82*(1+INDEX(AM$1:AM$2,MATCH($O82,$AI$1:$AI$2,0)))^(AM$16-AL$16),INDEX('AEA2012 update'!$AC$6:$AG$104,MATCH($T82&amp;$U82,'AEA2012 update'!$A$6:$A$104&amp;'AEA2012 update'!$B$6:$B$104,0),MATCH(AM$16,'AEA2012 update'!$AC$4:$AG$4,0)))</f>
        <v>#N/A</v>
      </c>
      <c r="AN82" s="67" t="e">
        <f t="array" ref="AN82">IF($AE$1,AM82*(1+INDEX(AN$1:AN$2,MATCH($O82,$AI$1:$AI$2,0)))^(AN$16-AM$16),INDEX('AEA2012 update'!$AC$6:$AG$104,MATCH($T82&amp;$U82,'AEA2012 update'!$A$6:$A$104&amp;'AEA2012 update'!$B$6:$B$104,0),MATCH(AN$16,'AEA2012 update'!$AC$4:$AG$4,0)))</f>
        <v>#N/A</v>
      </c>
      <c r="AO82" s="67" t="e">
        <f t="array" ref="AO82">IF($AE$1,AN82*(1+INDEX(AO$1:AO$2,MATCH($O82,$AI$1:$AI$2,0)))^(AO$16-AN$16),INDEX('AEA2012 update'!$AC$6:$AG$104,MATCH($T82&amp;$U82,'AEA2012 update'!$A$6:$A$104&amp;'AEA2012 update'!$B$6:$B$104,0),MATCH(AO$16,'AEA2012 update'!$AC$4:$AG$4,0)))</f>
        <v>#N/A</v>
      </c>
      <c r="AP82" s="67" t="e">
        <f t="array" ref="AP82">IF($AE$1,AO82*(1+INDEX(AP$1:AP$2,MATCH($O82,$AI$1:$AI$2,0)))^(AP$16-AO$16),INDEX('AEA2012 update'!$AC$6:$AG$104,MATCH($T82&amp;$U82,'AEA2012 update'!$A$6:$A$104&amp;'AEA2012 update'!$B$6:$B$104,0),MATCH(AP$16,'AEA2012 update'!$AC$4:$AG$4,0)))</f>
        <v>#N/A</v>
      </c>
      <c r="AQ82" s="67"/>
      <c r="AR82" s="274" t="e">
        <f t="shared" si="10"/>
        <v>#N/A</v>
      </c>
      <c r="AS82" s="274" t="e">
        <f t="shared" si="11"/>
        <v>#N/A</v>
      </c>
      <c r="AY82" s="61" t="str">
        <f t="shared" si="12"/>
        <v>-</v>
      </c>
      <c r="AZ82" s="80" t="e" cm="1">
        <f t="array" aca="1" ref="AZ82" ca="1">AL82/INDIRECT("cv."&amp;LEFT($U82,6)&amp;".hhv.MJL") * 100</f>
        <v>#N/A</v>
      </c>
      <c r="BA82" s="80" t="e" cm="1">
        <f t="array" aca="1" ref="BA82" ca="1">AM82/INDIRECT("cv."&amp;LEFT($U82,6)&amp;".hhv.MJL") * 100</f>
        <v>#N/A</v>
      </c>
      <c r="BB82" s="80" t="e" cm="1">
        <f t="array" aca="1" ref="BB82" ca="1">AN82/INDIRECT("cv."&amp;LEFT($U82,6)&amp;".hhv.MJL") * 100</f>
        <v>#N/A</v>
      </c>
      <c r="BC82" s="80" t="e" cm="1">
        <f t="array" aca="1" ref="BC82" ca="1">AO82/INDIRECT("cv."&amp;LEFT($U82,6)&amp;".hhv.MJL") * 100</f>
        <v>#N/A</v>
      </c>
      <c r="BD82" s="80" t="e" cm="1">
        <f t="array" aca="1" ref="BD82" ca="1">AP82/INDIRECT("cv."&amp;LEFT($U82,6)&amp;".hhv.MJL") * 100</f>
        <v>#N/A</v>
      </c>
    </row>
    <row r="83" spans="1:56" x14ac:dyDescent="0.25">
      <c r="A83" s="61" t="s">
        <v>263</v>
      </c>
      <c r="C83" s="100">
        <f t="shared" ref="C83:C90" si="19">C68/$C$82</f>
        <v>0.15792763809901353</v>
      </c>
      <c r="D83" s="7">
        <f t="shared" ref="D83:D90" si="20">C83*$D$58</f>
        <v>2468.2510558494823</v>
      </c>
      <c r="N83" s="61" t="s">
        <v>511</v>
      </c>
      <c r="O83" s="61" t="s">
        <v>653</v>
      </c>
      <c r="P83" s="61" t="s">
        <v>731</v>
      </c>
      <c r="Q83" s="61" t="str">
        <f t="shared" si="7"/>
        <v>CV3</v>
      </c>
      <c r="R83" s="61" t="s">
        <v>687</v>
      </c>
      <c r="S83" s="65"/>
      <c r="T83" s="273" t="s">
        <v>725</v>
      </c>
      <c r="U83" s="957" t="s">
        <v>687</v>
      </c>
      <c r="V83" s="965"/>
      <c r="W83" s="958">
        <f t="shared" si="18"/>
        <v>0</v>
      </c>
      <c r="X83" s="959">
        <f t="shared" si="18"/>
        <v>0</v>
      </c>
      <c r="Y83" s="959">
        <f t="shared" si="18"/>
        <v>0</v>
      </c>
      <c r="Z83" s="959">
        <f t="shared" si="18"/>
        <v>0</v>
      </c>
      <c r="AA83" s="959">
        <f t="shared" si="18"/>
        <v>0</v>
      </c>
      <c r="AB83" s="959">
        <f t="shared" si="18"/>
        <v>0</v>
      </c>
      <c r="AC83" s="960">
        <f t="shared" si="18"/>
        <v>0</v>
      </c>
      <c r="AD83" s="103" cm="1">
        <f t="array" ref="AD83">IF(W83,INDEX('AEA2012 update'!$K$6:$R$104,MATCH($T83&amp;$R83,'AEA2012 update'!$A$6:$A$104&amp;'AEA2012 update'!$B$6:$B$104,0),MATCH(AD$16,'AEA2012 update'!$S$4:$Z$4,0)),INDEX('AEA2012 update'!$K$6:$R$104,MATCH($T83&amp;$U83,'AEA2012 update'!$A$6:$A$104&amp;'AEA2012 update'!$B$6:$B$104,0),MATCH(AD$16,'AEA2012 update'!$S$4:$Z$4,0)))</f>
        <v>396204.1631410002</v>
      </c>
      <c r="AE83" s="103" cm="1">
        <f t="array" ref="AE83">IF(X83,INDEX('AEA2012 update'!$K$6:$R$104,MATCH($T83&amp;$R83,'AEA2012 update'!$A$6:$A$104&amp;'AEA2012 update'!$B$6:$B$104,0),MATCH(AE$16,'AEA2012 update'!$S$4:$Z$4,0)),INDEX('AEA2012 update'!$K$6:$R$104,MATCH($T83&amp;$U83,'AEA2012 update'!$A$6:$A$104&amp;'AEA2012 update'!$B$6:$B$104,0),MATCH(AE$16,'AEA2012 update'!$S$4:$Z$4,0)))</f>
        <v>476747.78352540621</v>
      </c>
      <c r="AF83" s="103" cm="1">
        <f t="array" ref="AF83">IF(Y83,INDEX('AEA2012 update'!$K$6:$R$104,MATCH($T83&amp;$R83,'AEA2012 update'!$A$6:$A$104&amp;'AEA2012 update'!$B$6:$B$104,0),MATCH(AF$16,'AEA2012 update'!$S$4:$Z$4,0)),INDEX('AEA2012 update'!$K$6:$R$104,MATCH($T83&amp;$U83,'AEA2012 update'!$A$6:$A$104&amp;'AEA2012 update'!$B$6:$B$104,0),MATCH(AF$16,'AEA2012 update'!$S$4:$Z$4,0)))</f>
        <v>491831.97524024436</v>
      </c>
      <c r="AG83" s="103" cm="1">
        <f t="array" ref="AG83">IF(Z83,INDEX('AEA2012 update'!$K$6:$R$104,MATCH($T83&amp;$R83,'AEA2012 update'!$A$6:$A$104&amp;'AEA2012 update'!$B$6:$B$104,0),MATCH(AG$16,'AEA2012 update'!$S$4:$Z$4,0)),INDEX('AEA2012 update'!$K$6:$R$104,MATCH($T83&amp;$U83,'AEA2012 update'!$A$6:$A$104&amp;'AEA2012 update'!$B$6:$B$104,0),MATCH(AG$16,'AEA2012 update'!$S$4:$Z$4,0)))</f>
        <v>506916.16695508256</v>
      </c>
      <c r="AH83" s="103" cm="1">
        <f t="array" ref="AH83">IF(AA83,INDEX('AEA2012 update'!$K$6:$R$104,MATCH($T83&amp;$R83,'AEA2012 update'!$A$6:$A$104&amp;'AEA2012 update'!$B$6:$B$104,0),MATCH(AH$16,'AEA2012 update'!$S$4:$Z$4,0)),INDEX('AEA2012 update'!$K$6:$R$104,MATCH($T83&amp;$U83,'AEA2012 update'!$A$6:$A$104&amp;'AEA2012 update'!$B$6:$B$104,0),MATCH(AH$16,'AEA2012 update'!$S$4:$Z$4,0)))</f>
        <v>520424.31194208184</v>
      </c>
      <c r="AI83" s="103" cm="1">
        <f t="array" ref="AI83">IF(AB83,INDEX('AEA2012 update'!$K$6:$R$104,MATCH($T83&amp;$R83,'AEA2012 update'!$A$6:$A$104&amp;'AEA2012 update'!$B$6:$B$104,0),MATCH(AI$16,'AEA2012 update'!$S$4:$Z$4,0)),INDEX('AEA2012 update'!$K$6:$R$104,MATCH($T83&amp;$U83,'AEA2012 update'!$A$6:$A$104&amp;'AEA2012 update'!$B$6:$B$104,0),MATCH(AI$16,'AEA2012 update'!$S$4:$Z$4,0)))</f>
        <v>533932.45692908112</v>
      </c>
      <c r="AJ83" s="103" cm="1">
        <f t="array" ref="AJ83">IF(AC83,INDEX('AEA2012 update'!$K$6:$R$104,MATCH($T83&amp;$R83,'AEA2012 update'!$A$6:$A$104&amp;'AEA2012 update'!$B$6:$B$104,0),MATCH(AJ$16,'AEA2012 update'!$S$4:$Z$4,0)),INDEX('AEA2012 update'!$K$6:$R$104,MATCH($T83&amp;$U83,'AEA2012 update'!$A$6:$A$104&amp;'AEA2012 update'!$B$6:$B$104,0),MATCH(AJ$16,'AEA2012 update'!$S$4:$Z$4,0)))</f>
        <v>551671.18115070788</v>
      </c>
      <c r="AK83" s="103" t="str">
        <f t="shared" si="13"/>
        <v>CV3ODS</v>
      </c>
      <c r="AL83" s="67">
        <f>1/INDEX(Analytica!$AA$17:$AE$48,MATCH($AK83,Analytica!$A$17:$A$48,0),MATCH(AL$16,Analytica!$AA$16:$AE$16,0))</f>
        <v>8.3835108522496302</v>
      </c>
      <c r="AM83" s="67">
        <f t="array" ref="AM83">IF($AE$1,AL83*(1+INDEX(AM$1:AM$2,MATCH($O83,$AI$1:$AI$2,0)))^(AM$16-AL$16),INDEX('AEA2012 update'!$AC$6:$AG$104,MATCH($T83&amp;$U83,'AEA2012 update'!$A$6:$A$104&amp;'AEA2012 update'!$B$6:$B$104,0),MATCH(AM$16,'AEA2012 update'!$AC$4:$AG$4,0)))</f>
        <v>8.3583854618419267</v>
      </c>
      <c r="AN83" s="67">
        <f t="array" ref="AN83">IF($AE$1,AM83*(1+INDEX(AN$1:AN$2,MATCH($O83,$AI$1:$AI$2,0)))^(AN$16-AM$16),INDEX('AEA2012 update'!$AC$6:$AG$104,MATCH($T83&amp;$U83,'AEA2012 update'!$A$6:$A$104&amp;'AEA2012 update'!$B$6:$B$104,0),MATCH(AN$16,'AEA2012 update'!$AC$4:$AG$4,0)))</f>
        <v>7.909886834105972</v>
      </c>
      <c r="AO83" s="67">
        <f t="array" ref="AO83">IF($AE$1,AN83*(1+INDEX(AO$1:AO$2,MATCH($O83,$AI$1:$AI$2,0)))^(AO$16-AN$16),INDEX('AEA2012 update'!$AC$6:$AG$104,MATCH($T83&amp;$U83,'AEA2012 update'!$A$6:$A$104&amp;'AEA2012 update'!$B$6:$B$104,0),MATCH(AO$16,'AEA2012 update'!$AC$4:$AG$4,0)))</f>
        <v>7.1535598681135806</v>
      </c>
      <c r="AP83" s="67">
        <f t="array" ref="AP83">IF($AE$1,AO83*(1+INDEX(AP$1:AP$2,MATCH($O83,$AI$1:$AI$2,0)))^(AP$16-AO$16),INDEX('AEA2012 update'!$AC$6:$AG$104,MATCH($T83&amp;$U83,'AEA2012 update'!$A$6:$A$104&amp;'AEA2012 update'!$B$6:$B$104,0),MATCH(AP$16,'AEA2012 update'!$AC$4:$AG$4,0)))</f>
        <v>6.4695513172242682</v>
      </c>
      <c r="AQ83" s="67"/>
      <c r="AR83" s="274">
        <f t="shared" si="10"/>
        <v>-9.9900033333335603E-4</v>
      </c>
      <c r="AS83" s="274">
        <f t="shared" si="11"/>
        <v>-7.5326913841620409E-3</v>
      </c>
      <c r="AY83" s="61" t="str">
        <f t="shared" si="12"/>
        <v>HCV3-ODS</v>
      </c>
      <c r="AZ83" s="80" t="e" cm="1">
        <f t="array" aca="1" ref="AZ83" ca="1">AL83/INDIRECT("cv."&amp;LEFT($U83,6)&amp;".hhv.MJL") * 100</f>
        <v>#REF!</v>
      </c>
      <c r="BA83" s="80" t="e" cm="1">
        <f t="array" aca="1" ref="BA83" ca="1">AM83/INDIRECT("cv."&amp;LEFT($U83,6)&amp;".hhv.MJL") * 100</f>
        <v>#REF!</v>
      </c>
      <c r="BB83" s="80" t="e" cm="1">
        <f t="array" aca="1" ref="BB83" ca="1">AN83/INDIRECT("cv."&amp;LEFT($U83,6)&amp;".hhv.MJL") * 100</f>
        <v>#REF!</v>
      </c>
      <c r="BC83" s="80" t="e" cm="1">
        <f t="array" aca="1" ref="BC83" ca="1">AO83/INDIRECT("cv."&amp;LEFT($U83,6)&amp;".hhv.MJL") * 100</f>
        <v>#REF!</v>
      </c>
      <c r="BD83" s="80" t="e" cm="1">
        <f t="array" aca="1" ref="BD83" ca="1">AP83/INDIRECT("cv."&amp;LEFT($U83,6)&amp;".hhv.MJL") * 100</f>
        <v>#REF!</v>
      </c>
    </row>
    <row r="84" spans="1:56" x14ac:dyDescent="0.25">
      <c r="A84" s="61" t="s">
        <v>261</v>
      </c>
      <c r="C84" s="100">
        <f t="shared" si="19"/>
        <v>0.27324012380502233</v>
      </c>
      <c r="D84" s="7">
        <f t="shared" si="20"/>
        <v>4270.4698949486938</v>
      </c>
      <c r="N84" s="61" t="s">
        <v>501</v>
      </c>
      <c r="O84" s="61" t="s">
        <v>653</v>
      </c>
      <c r="P84" s="61" t="s">
        <v>731</v>
      </c>
      <c r="Q84" s="61" t="str">
        <f t="shared" si="7"/>
        <v>CV3</v>
      </c>
      <c r="R84" s="61" t="s">
        <v>687</v>
      </c>
      <c r="S84" s="65"/>
      <c r="T84" s="273" t="s">
        <v>725</v>
      </c>
      <c r="U84" s="957" t="s">
        <v>692</v>
      </c>
      <c r="V84" s="965">
        <v>2040</v>
      </c>
      <c r="W84" s="958">
        <f t="shared" si="18"/>
        <v>0</v>
      </c>
      <c r="X84" s="959">
        <f t="shared" si="18"/>
        <v>0</v>
      </c>
      <c r="Y84" s="959">
        <f t="shared" si="18"/>
        <v>0</v>
      </c>
      <c r="Z84" s="959">
        <f t="shared" si="18"/>
        <v>0</v>
      </c>
      <c r="AA84" s="959">
        <f t="shared" si="18"/>
        <v>0</v>
      </c>
      <c r="AB84" s="959">
        <f t="shared" si="18"/>
        <v>1</v>
      </c>
      <c r="AC84" s="960">
        <f t="shared" si="18"/>
        <v>1</v>
      </c>
      <c r="AD84" s="103" cm="1">
        <f t="array" ref="AD84">IF(W84,INDEX('AEA2012 update'!$K$6:$R$104,MATCH($T84&amp;$R84,'AEA2012 update'!$A$6:$A$104&amp;'AEA2012 update'!$B$6:$B$104,0),MATCH(AD$16,'AEA2012 update'!$S$4:$Z$4,0)),INDEX('AEA2012 update'!$K$6:$R$104,MATCH($T84&amp;$U84,'AEA2012 update'!$A$6:$A$104&amp;'AEA2012 update'!$B$6:$B$104,0),MATCH(AD$16,'AEA2012 update'!$S$4:$Z$4,0)))</f>
        <v>1327792.7757726812</v>
      </c>
      <c r="AE84" s="103" cm="1">
        <f t="array" ref="AE84">IF(X84,INDEX('AEA2012 update'!$K$6:$R$104,MATCH($T84&amp;$R84,'AEA2012 update'!$A$6:$A$104&amp;'AEA2012 update'!$B$6:$B$104,0),MATCH(AE$16,'AEA2012 update'!$S$4:$Z$4,0)),INDEX('AEA2012 update'!$K$6:$R$104,MATCH($T84&amp;$U84,'AEA2012 update'!$A$6:$A$104&amp;'AEA2012 update'!$B$6:$B$104,0),MATCH(AE$16,'AEA2012 update'!$S$4:$Z$4,0)))</f>
        <v>871544.47239677189</v>
      </c>
      <c r="AF84" s="103" cm="1">
        <f t="array" ref="AF84">IF(Y84,INDEX('AEA2012 update'!$K$6:$R$104,MATCH($T84&amp;$R84,'AEA2012 update'!$A$6:$A$104&amp;'AEA2012 update'!$B$6:$B$104,0),MATCH(AF$16,'AEA2012 update'!$S$4:$Z$4,0)),INDEX('AEA2012 update'!$K$6:$R$104,MATCH($T84&amp;$U84,'AEA2012 update'!$A$6:$A$104&amp;'AEA2012 update'!$B$6:$B$104,0),MATCH(AF$16,'AEA2012 update'!$S$4:$Z$4,0)))</f>
        <v>791404.01330598292</v>
      </c>
      <c r="AG84" s="103" cm="1">
        <f t="array" ref="AG84">IF(Z84,INDEX('AEA2012 update'!$K$6:$R$104,MATCH($T84&amp;$R84,'AEA2012 update'!$A$6:$A$104&amp;'AEA2012 update'!$B$6:$B$104,0),MATCH(AG$16,'AEA2012 update'!$S$4:$Z$4,0)),INDEX('AEA2012 update'!$K$6:$R$104,MATCH($T84&amp;$U84,'AEA2012 update'!$A$6:$A$104&amp;'AEA2012 update'!$B$6:$B$104,0),MATCH(AG$16,'AEA2012 update'!$S$4:$Z$4,0)))</f>
        <v>711263.55421519373</v>
      </c>
      <c r="AH84" s="103" cm="1">
        <f t="array" ref="AH84">IF(AA84,INDEX('AEA2012 update'!$K$6:$R$104,MATCH($T84&amp;$R84,'AEA2012 update'!$A$6:$A$104&amp;'AEA2012 update'!$B$6:$B$104,0),MATCH(AH$16,'AEA2012 update'!$S$4:$Z$4,0)),INDEX('AEA2012 update'!$K$6:$R$104,MATCH($T84&amp;$U84,'AEA2012 update'!$A$6:$A$104&amp;'AEA2012 update'!$B$6:$B$104,0),MATCH(AH$16,'AEA2012 update'!$S$4:$Z$4,0)))</f>
        <v>716968.75957082282</v>
      </c>
      <c r="AI84" s="103" cm="1">
        <f t="array" ref="AI84">IF(AB84,INDEX('AEA2012 update'!$K$6:$R$104,MATCH($T84&amp;$R84,'AEA2012 update'!$A$6:$A$104&amp;'AEA2012 update'!$B$6:$B$104,0),MATCH(AI$16,'AEA2012 update'!$S$4:$Z$4,0)),INDEX('AEA2012 update'!$K$6:$R$104,MATCH($T84&amp;$U84,'AEA2012 update'!$A$6:$A$104&amp;'AEA2012 update'!$B$6:$B$104,0),MATCH(AI$16,'AEA2012 update'!$S$4:$Z$4,0)))</f>
        <v>533932.45692908112</v>
      </c>
      <c r="AJ84" s="103" cm="1">
        <f t="array" ref="AJ84">IF(AC84,INDEX('AEA2012 update'!$K$6:$R$104,MATCH($T84&amp;$R84,'AEA2012 update'!$A$6:$A$104&amp;'AEA2012 update'!$B$6:$B$104,0),MATCH(AJ$16,'AEA2012 update'!$S$4:$Z$4,0)),INDEX('AEA2012 update'!$K$6:$R$104,MATCH($T84&amp;$U84,'AEA2012 update'!$A$6:$A$104&amp;'AEA2012 update'!$B$6:$B$104,0),MATCH(AJ$16,'AEA2012 update'!$S$4:$Z$4,0)))</f>
        <v>551671.18115070788</v>
      </c>
      <c r="AK84" s="103" t="str">
        <f t="shared" si="13"/>
        <v>CV3ELC</v>
      </c>
      <c r="AL84" s="67">
        <f>INDEX('Vehicle data '!$AD$20:$AD$110,MATCH($AK84,'Vehicle data '!$AC$20:$AC$110,0))/INDEX('Vehicle data '!$AD$20:$AD$110,MATCH($AK$83,'Vehicle data '!$AC$20:$AC$110,0))*AL$83</f>
        <v>2.5604291877993153</v>
      </c>
      <c r="AM84" s="67">
        <f t="array" ref="AM84">IF($AE$1,AL84*(1+INDEX(AM$1:AM$2,MATCH($O84,$AI$1:$AI$2,0)))^(AM$16-AL$16),INDEX('AEA2012 update'!$AC$6:$AG$104,MATCH($T84&amp;$U84,'AEA2012 update'!$A$6:$A$104&amp;'AEA2012 update'!$B$6:$B$104,0),MATCH(AM$16,'AEA2012 update'!$AC$4:$AG$4,0)))</f>
        <v>2.5527555789630516</v>
      </c>
      <c r="AN84" s="67">
        <f t="array" ref="AN84">IF($AE$1,AM84*(1+INDEX(AN$1:AN$2,MATCH($O84,$AI$1:$AI$2,0)))^(AN$16-AM$16),INDEX('AEA2012 update'!$AC$6:$AG$104,MATCH($T84&amp;$U84,'AEA2012 update'!$A$6:$A$104&amp;'AEA2012 update'!$B$6:$B$104,0),MATCH(AN$16,'AEA2012 update'!$AC$4:$AG$4,0)))</f>
        <v>2.4157784822094963</v>
      </c>
      <c r="AO84" s="67">
        <f t="array" ref="AO84">IF($AE$1,AN84*(1+INDEX(AO$1:AO$2,MATCH($O84,$AI$1:$AI$2,0)))^(AO$16-AN$16),INDEX('AEA2012 update'!$AC$6:$AG$104,MATCH($T84&amp;$U84,'AEA2012 update'!$A$6:$A$104&amp;'AEA2012 update'!$B$6:$B$104,0),MATCH(AO$16,'AEA2012 update'!$AC$4:$AG$4,0)))</f>
        <v>2.1847867565022443</v>
      </c>
      <c r="AP84" s="67">
        <f t="array" ref="AP84">IF($AE$1,AO84*(1+INDEX(AP$1:AP$2,MATCH($O84,$AI$1:$AI$2,0)))^(AP$16-AO$16),INDEX('AEA2012 update'!$AC$6:$AG$104,MATCH($T84&amp;$U84,'AEA2012 update'!$A$6:$A$104&amp;'AEA2012 update'!$B$6:$B$104,0),MATCH(AP$16,'AEA2012 update'!$AC$4:$AG$4,0)))</f>
        <v>1.9758819802972549</v>
      </c>
      <c r="AQ84" s="67"/>
      <c r="AR84" s="274">
        <f t="shared" si="10"/>
        <v>-9.9900033333332459E-4</v>
      </c>
      <c r="AS84" s="274">
        <f t="shared" si="11"/>
        <v>-7.5326913841620392E-3</v>
      </c>
      <c r="AY84" s="61" t="str">
        <f t="shared" si="12"/>
        <v>HCV3-ELC</v>
      </c>
      <c r="AZ84" s="80" t="e" cm="1">
        <f t="array" aca="1" ref="AZ84" ca="1">AL84/INDIRECT("cv."&amp;LEFT($U84,6)&amp;".hhv.MJL") * 100</f>
        <v>#REF!</v>
      </c>
      <c r="BA84" s="80" t="e" cm="1">
        <f t="array" aca="1" ref="BA84" ca="1">AM84/INDIRECT("cv."&amp;LEFT($U84,6)&amp;".hhv.MJL") * 100</f>
        <v>#REF!</v>
      </c>
      <c r="BB84" s="80" t="e" cm="1">
        <f t="array" aca="1" ref="BB84" ca="1">AN84/INDIRECT("cv."&amp;LEFT($U84,6)&amp;".hhv.MJL") * 100</f>
        <v>#REF!</v>
      </c>
      <c r="BC84" s="80" t="e" cm="1">
        <f t="array" aca="1" ref="BC84" ca="1">AO84/INDIRECT("cv."&amp;LEFT($U84,6)&amp;".hhv.MJL") * 100</f>
        <v>#REF!</v>
      </c>
      <c r="BD84" s="80" t="e" cm="1">
        <f t="array" aca="1" ref="BD84" ca="1">AP84/INDIRECT("cv."&amp;LEFT($U84,6)&amp;".hhv.MJL") * 100</f>
        <v>#REF!</v>
      </c>
    </row>
    <row r="85" spans="1:56" x14ac:dyDescent="0.25">
      <c r="A85" s="61" t="s">
        <v>259</v>
      </c>
      <c r="C85" s="100">
        <f t="shared" si="19"/>
        <v>6.2253190418833003E-2</v>
      </c>
      <c r="D85" s="7">
        <f t="shared" si="20"/>
        <v>972.95511305594096</v>
      </c>
      <c r="N85" s="61" t="s">
        <v>504</v>
      </c>
      <c r="O85" s="61" t="s">
        <v>653</v>
      </c>
      <c r="P85" s="61" t="s">
        <v>731</v>
      </c>
      <c r="Q85" s="61" t="str">
        <f t="shared" si="7"/>
        <v>CV3</v>
      </c>
      <c r="R85" s="61" t="s">
        <v>687</v>
      </c>
      <c r="S85" s="65"/>
      <c r="T85" s="273" t="s">
        <v>725</v>
      </c>
      <c r="U85" s="957" t="s">
        <v>699</v>
      </c>
      <c r="V85" s="965">
        <v>2050</v>
      </c>
      <c r="W85" s="958">
        <f t="shared" ref="W85:AC100" si="21">IF($V85="",0,IF(W$19&gt;=$V85,1,0))</f>
        <v>0</v>
      </c>
      <c r="X85" s="959">
        <f t="shared" si="21"/>
        <v>0</v>
      </c>
      <c r="Y85" s="959">
        <f t="shared" si="21"/>
        <v>0</v>
      </c>
      <c r="Z85" s="959">
        <f t="shared" si="21"/>
        <v>0</v>
      </c>
      <c r="AA85" s="959">
        <f t="shared" si="21"/>
        <v>0</v>
      </c>
      <c r="AB85" s="959">
        <f t="shared" si="21"/>
        <v>0</v>
      </c>
      <c r="AC85" s="960">
        <f t="shared" si="21"/>
        <v>1</v>
      </c>
      <c r="AD85" s="103" cm="1">
        <f t="array" ref="AD85">IF(W85,INDEX('AEA2012 update'!$K$6:$R$104,MATCH($T85&amp;$R85,'AEA2012 update'!$A$6:$A$104&amp;'AEA2012 update'!$B$6:$B$104,0),MATCH(AD$16,'AEA2012 update'!$S$4:$Z$4,0)),INDEX('AEA2012 update'!$K$6:$R$104,MATCH($T85&amp;$U85,'AEA2012 update'!$A$6:$A$104&amp;'AEA2012 update'!$B$6:$B$104,0),MATCH(AD$16,'AEA2012 update'!$S$4:$Z$4,0)))</f>
        <v>2522990.6381765995</v>
      </c>
      <c r="AE85" s="103" cm="1">
        <f t="array" ref="AE85">IF(X85,INDEX('AEA2012 update'!$K$6:$R$104,MATCH($T85&amp;$R85,'AEA2012 update'!$A$6:$A$104&amp;'AEA2012 update'!$B$6:$B$104,0),MATCH(AE$16,'AEA2012 update'!$S$4:$Z$4,0)),INDEX('AEA2012 update'!$K$6:$R$104,MATCH($T85&amp;$U85,'AEA2012 update'!$A$6:$A$104&amp;'AEA2012 update'!$B$6:$B$104,0),MATCH(AE$16,'AEA2012 update'!$S$4:$Z$4,0)))</f>
        <v>1080982.7502171779</v>
      </c>
      <c r="AF85" s="103" cm="1">
        <f t="array" ref="AF85">IF(Y85,INDEX('AEA2012 update'!$K$6:$R$104,MATCH($T85&amp;$R85,'AEA2012 update'!$A$6:$A$104&amp;'AEA2012 update'!$B$6:$B$104,0),MATCH(AF$16,'AEA2012 update'!$S$4:$Z$4,0)),INDEX('AEA2012 update'!$K$6:$R$104,MATCH($T85&amp;$U85,'AEA2012 update'!$A$6:$A$104&amp;'AEA2012 update'!$B$6:$B$104,0),MATCH(AF$16,'AEA2012 update'!$S$4:$Z$4,0)))</f>
        <v>851672.91194386315</v>
      </c>
      <c r="AG85" s="103" cm="1">
        <f t="array" ref="AG85">IF(Z85,INDEX('AEA2012 update'!$K$6:$R$104,MATCH($T85&amp;$R85,'AEA2012 update'!$A$6:$A$104&amp;'AEA2012 update'!$B$6:$B$104,0),MATCH(AG$16,'AEA2012 update'!$S$4:$Z$4,0)),INDEX('AEA2012 update'!$K$6:$R$104,MATCH($T85&amp;$U85,'AEA2012 update'!$A$6:$A$104&amp;'AEA2012 update'!$B$6:$B$104,0),MATCH(AG$16,'AEA2012 update'!$S$4:$Z$4,0)))</f>
        <v>622363.07367054839</v>
      </c>
      <c r="AH85" s="103" cm="1">
        <f t="array" ref="AH85">IF(AA85,INDEX('AEA2012 update'!$K$6:$R$104,MATCH($T85&amp;$R85,'AEA2012 update'!$A$6:$A$104&amp;'AEA2012 update'!$B$6:$B$104,0),MATCH(AH$16,'AEA2012 update'!$S$4:$Z$4,0)),INDEX('AEA2012 update'!$K$6:$R$104,MATCH($T85&amp;$U85,'AEA2012 update'!$A$6:$A$104&amp;'AEA2012 update'!$B$6:$B$104,0),MATCH(AH$16,'AEA2012 update'!$S$4:$Z$4,0)))</f>
        <v>593958.67654201027</v>
      </c>
      <c r="AI85" s="103" cm="1">
        <f t="array" ref="AI85">IF(AB85,INDEX('AEA2012 update'!$K$6:$R$104,MATCH($T85&amp;$R85,'AEA2012 update'!$A$6:$A$104&amp;'AEA2012 update'!$B$6:$B$104,0),MATCH(AI$16,'AEA2012 update'!$S$4:$Z$4,0)),INDEX('AEA2012 update'!$K$6:$R$104,MATCH($T85&amp;$U85,'AEA2012 update'!$A$6:$A$104&amp;'AEA2012 update'!$B$6:$B$104,0),MATCH(AI$16,'AEA2012 update'!$S$4:$Z$4,0)))</f>
        <v>565554.27941347216</v>
      </c>
      <c r="AJ85" s="103" cm="1">
        <f t="array" ref="AJ85">IF(AC85,INDEX('AEA2012 update'!$K$6:$R$104,MATCH($T85&amp;$R85,'AEA2012 update'!$A$6:$A$104&amp;'AEA2012 update'!$B$6:$B$104,0),MATCH(AJ$16,'AEA2012 update'!$S$4:$Z$4,0)),INDEX('AEA2012 update'!$K$6:$R$104,MATCH($T85&amp;$U85,'AEA2012 update'!$A$6:$A$104&amp;'AEA2012 update'!$B$6:$B$104,0),MATCH(AJ$16,'AEA2012 update'!$S$4:$Z$4,0)))</f>
        <v>551671.18115070788</v>
      </c>
      <c r="AK85" s="103" t="str">
        <f t="shared" si="13"/>
        <v>CV3HGN</v>
      </c>
      <c r="AL85" s="67">
        <f>INDEX('Vehicle data '!$AD$20:$AD$110,MATCH($AK85,'Vehicle data '!$AC$20:$AC$110,0))/INDEX('Vehicle data '!$AD$20:$AD$110,MATCH($AK$83,'Vehicle data '!$AC$20:$AC$110,0))*AL$83</f>
        <v>3.9529433074796438</v>
      </c>
      <c r="AM85" s="67">
        <f t="array" ref="AM85">IF($AE$1,AL85*(1+INDEX(AM$1:AM$2,MATCH($O85,$AI$1:$AI$2,0)))^(AM$16-AL$16),INDEX('AEA2012 update'!$AC$6:$AG$104,MATCH($T85&amp;$U85,'AEA2012 update'!$A$6:$A$104&amp;'AEA2012 update'!$B$6:$B$104,0),MATCH(AM$16,'AEA2012 update'!$AC$4:$AG$4,0)))</f>
        <v>3.9410963324341841</v>
      </c>
      <c r="AN85" s="67">
        <f t="array" ref="AN85">IF($AE$1,AM85*(1+INDEX(AN$1:AN$2,MATCH($O85,$AI$1:$AI$2,0)))^(AN$16-AM$16),INDEX('AEA2012 update'!$AC$6:$AG$104,MATCH($T85&amp;$U85,'AEA2012 update'!$A$6:$A$104&amp;'AEA2012 update'!$B$6:$B$104,0),MATCH(AN$16,'AEA2012 update'!$AC$4:$AG$4,0)))</f>
        <v>3.7296229199023796</v>
      </c>
      <c r="AO85" s="67">
        <f t="array" ref="AO85">IF($AE$1,AN85*(1+INDEX(AO$1:AO$2,MATCH($O85,$AI$1:$AI$2,0)))^(AO$16-AN$16),INDEX('AEA2012 update'!$AC$6:$AG$104,MATCH($T85&amp;$U85,'AEA2012 update'!$A$6:$A$104&amp;'AEA2012 update'!$B$6:$B$104,0),MATCH(AO$16,'AEA2012 update'!$AC$4:$AG$4,0)))</f>
        <v>3.3730041153017094</v>
      </c>
      <c r="AP85" s="67">
        <f t="array" ref="AP85">IF($AE$1,AO85*(1+INDEX(AP$1:AP$2,MATCH($O85,$AI$1:$AI$2,0)))^(AP$16-AO$16),INDEX('AEA2012 update'!$AC$6:$AG$104,MATCH($T85&amp;$U85,'AEA2012 update'!$A$6:$A$104&amp;'AEA2012 update'!$B$6:$B$104,0),MATCH(AP$16,'AEA2012 update'!$AC$4:$AG$4,0)))</f>
        <v>3.0504844608097961</v>
      </c>
      <c r="AQ85" s="67"/>
      <c r="AR85" s="274">
        <f t="shared" si="10"/>
        <v>-9.9900033333332719E-4</v>
      </c>
      <c r="AS85" s="274">
        <f t="shared" si="11"/>
        <v>-7.5326913841620418E-3</v>
      </c>
      <c r="AY85" s="61" t="str">
        <f t="shared" ref="AY85:AY110" si="22">P85&amp;"-"&amp;N85</f>
        <v>HCV3-HGN</v>
      </c>
      <c r="AZ85" s="80" t="e" cm="1">
        <f t="array" aca="1" ref="AZ85" ca="1">AL85/INDIRECT("cv."&amp;LEFT($U85,6)&amp;".hhv.MJL") * 100</f>
        <v>#REF!</v>
      </c>
      <c r="BA85" s="80" t="e" cm="1">
        <f t="array" aca="1" ref="BA85" ca="1">AM85/INDIRECT("cv."&amp;LEFT($U85,6)&amp;".hhv.MJL") * 100</f>
        <v>#REF!</v>
      </c>
      <c r="BB85" s="80" t="e" cm="1">
        <f t="array" aca="1" ref="BB85" ca="1">AN85/INDIRECT("cv."&amp;LEFT($U85,6)&amp;".hhv.MJL") * 100</f>
        <v>#REF!</v>
      </c>
      <c r="BC85" s="80" t="e" cm="1">
        <f t="array" aca="1" ref="BC85" ca="1">AO85/INDIRECT("cv."&amp;LEFT($U85,6)&amp;".hhv.MJL") * 100</f>
        <v>#REF!</v>
      </c>
      <c r="BD85" s="80" t="e" cm="1">
        <f t="array" aca="1" ref="BD85" ca="1">AP85/INDIRECT("cv."&amp;LEFT($U85,6)&amp;".hhv.MJL") * 100</f>
        <v>#REF!</v>
      </c>
    </row>
    <row r="86" spans="1:56" x14ac:dyDescent="0.25">
      <c r="A86" s="61" t="s">
        <v>257</v>
      </c>
      <c r="C86" s="100">
        <f t="shared" si="19"/>
        <v>2.6153556853238193E-2</v>
      </c>
      <c r="D86" s="7">
        <f t="shared" si="20"/>
        <v>408.75394005925972</v>
      </c>
      <c r="N86" s="61" t="s">
        <v>509</v>
      </c>
      <c r="O86" s="61" t="s">
        <v>653</v>
      </c>
      <c r="P86" s="61" t="s">
        <v>731</v>
      </c>
      <c r="Q86" s="61" t="str">
        <f t="shared" si="7"/>
        <v>CV3</v>
      </c>
      <c r="R86" s="61" t="s">
        <v>687</v>
      </c>
      <c r="S86" s="65"/>
      <c r="T86" s="273" t="s">
        <v>725</v>
      </c>
      <c r="U86" s="957" t="s">
        <v>700</v>
      </c>
      <c r="V86" s="965"/>
      <c r="W86" s="958">
        <f t="shared" si="21"/>
        <v>0</v>
      </c>
      <c r="X86" s="959">
        <f t="shared" si="21"/>
        <v>0</v>
      </c>
      <c r="Y86" s="959">
        <f t="shared" si="21"/>
        <v>0</v>
      </c>
      <c r="Z86" s="959">
        <f t="shared" si="21"/>
        <v>0</v>
      </c>
      <c r="AA86" s="959">
        <f t="shared" si="21"/>
        <v>0</v>
      </c>
      <c r="AB86" s="959">
        <f t="shared" si="21"/>
        <v>0</v>
      </c>
      <c r="AC86" s="960">
        <f t="shared" si="21"/>
        <v>0</v>
      </c>
      <c r="AD86" s="103" cm="1">
        <f t="array" ref="AD86">IF(W86,INDEX('AEA2012 update'!$K$6:$R$104,MATCH($T86&amp;$R86,'AEA2012 update'!$A$6:$A$104&amp;'AEA2012 update'!$B$6:$B$104,0),MATCH(AD$16,'AEA2012 update'!$S$4:$Z$4,0)),INDEX('AEA2012 update'!$K$6:$R$104,MATCH($T86&amp;$U86,'AEA2012 update'!$A$6:$A$104&amp;'AEA2012 update'!$B$6:$B$104,0),MATCH(AD$16,'AEA2012 update'!$S$4:$Z$4,0)))</f>
        <v>598309.30679972272</v>
      </c>
      <c r="AE86" s="103" cm="1">
        <f t="array" ref="AE86">IF(X86,INDEX('AEA2012 update'!$K$6:$R$104,MATCH($T86&amp;$R86,'AEA2012 update'!$A$6:$A$104&amp;'AEA2012 update'!$B$6:$B$104,0),MATCH(AE$16,'AEA2012 update'!$S$4:$Z$4,0)),INDEX('AEA2012 update'!$K$6:$R$104,MATCH($T86&amp;$U86,'AEA2012 update'!$A$6:$A$104&amp;'AEA2012 update'!$B$6:$B$104,0),MATCH(AE$16,'AEA2012 update'!$S$4:$Z$4,0)))</f>
        <v>588990.88834881992</v>
      </c>
      <c r="AF86" s="103" cm="1">
        <f t="array" ref="AF86">IF(Y86,INDEX('AEA2012 update'!$K$6:$R$104,MATCH($T86&amp;$R86,'AEA2012 update'!$A$6:$A$104&amp;'AEA2012 update'!$B$6:$B$104,0),MATCH(AF$16,'AEA2012 update'!$S$4:$Z$4,0)),INDEX('AEA2012 update'!$K$6:$R$104,MATCH($T86&amp;$U86,'AEA2012 update'!$A$6:$A$104&amp;'AEA2012 update'!$B$6:$B$104,0),MATCH(AF$16,'AEA2012 update'!$S$4:$Z$4,0)))</f>
        <v>591035.13773094804</v>
      </c>
      <c r="AG86" s="103" cm="1">
        <f t="array" ref="AG86">IF(Z86,INDEX('AEA2012 update'!$K$6:$R$104,MATCH($T86&amp;$R86,'AEA2012 update'!$A$6:$A$104&amp;'AEA2012 update'!$B$6:$B$104,0),MATCH(AG$16,'AEA2012 update'!$S$4:$Z$4,0)),INDEX('AEA2012 update'!$K$6:$R$104,MATCH($T86&amp;$U86,'AEA2012 update'!$A$6:$A$104&amp;'AEA2012 update'!$B$6:$B$104,0),MATCH(AG$16,'AEA2012 update'!$S$4:$Z$4,0)))</f>
        <v>593079.38711307617</v>
      </c>
      <c r="AH86" s="103" cm="1">
        <f t="array" ref="AH86">IF(AA86,INDEX('AEA2012 update'!$K$6:$R$104,MATCH($T86&amp;$R86,'AEA2012 update'!$A$6:$A$104&amp;'AEA2012 update'!$B$6:$B$104,0),MATCH(AH$16,'AEA2012 update'!$S$4:$Z$4,0)),INDEX('AEA2012 update'!$K$6:$R$104,MATCH($T86&amp;$U86,'AEA2012 update'!$A$6:$A$104&amp;'AEA2012 update'!$B$6:$B$104,0),MATCH(AH$16,'AEA2012 update'!$S$4:$Z$4,0)))</f>
        <v>599603.08321858256</v>
      </c>
      <c r="AI86" s="103" cm="1">
        <f t="array" ref="AI86">IF(AB86,INDEX('AEA2012 update'!$K$6:$R$104,MATCH($T86&amp;$R86,'AEA2012 update'!$A$6:$A$104&amp;'AEA2012 update'!$B$6:$B$104,0),MATCH(AI$16,'AEA2012 update'!$S$4:$Z$4,0)),INDEX('AEA2012 update'!$K$6:$R$104,MATCH($T86&amp;$U86,'AEA2012 update'!$A$6:$A$104&amp;'AEA2012 update'!$B$6:$B$104,0),MATCH(AI$16,'AEA2012 update'!$S$4:$Z$4,0)))</f>
        <v>606126.77932408883</v>
      </c>
      <c r="AJ86" s="103" cm="1">
        <f t="array" ref="AJ86">IF(AC86,INDEX('AEA2012 update'!$K$6:$R$104,MATCH($T86&amp;$R86,'AEA2012 update'!$A$6:$A$104&amp;'AEA2012 update'!$B$6:$B$104,0),MATCH(AJ$16,'AEA2012 update'!$S$4:$Z$4,0)),INDEX('AEA2012 update'!$K$6:$R$104,MATCH($T86&amp;$U86,'AEA2012 update'!$A$6:$A$104&amp;'AEA2012 update'!$B$6:$B$104,0),MATCH(AJ$16,'AEA2012 update'!$S$4:$Z$4,0)))</f>
        <v>615221.77787460363</v>
      </c>
      <c r="AK86" s="103" t="str">
        <f t="shared" si="13"/>
        <v>CV3GAS</v>
      </c>
      <c r="AL86" s="67">
        <f>INDEX('Vehicle data '!$AD$20:$AD$110,MATCH($AK86,'Vehicle data '!$AC$20:$AC$110,0))/INDEX('Vehicle data '!$AD$20:$AD$110,MATCH($AK$83,'Vehicle data '!$AC$20:$AC$110,0))*AL$83</f>
        <v>9.6410374800870748</v>
      </c>
      <c r="AM86" s="67">
        <f t="array" ref="AM86">IF($AE$1,AL86*(1+INDEX(AM$1:AM$2,MATCH($O86,$AI$1:$AI$2,0)))^(AM$16-AL$16),INDEX('AEA2012 update'!$AC$6:$AG$104,MATCH($T86&amp;$U86,'AEA2012 update'!$A$6:$A$104&amp;'AEA2012 update'!$B$6:$B$104,0),MATCH(AM$16,'AEA2012 update'!$AC$4:$AG$4,0)))</f>
        <v>9.6121432811182164</v>
      </c>
      <c r="AN86" s="67">
        <f t="array" ref="AN86">IF($AE$1,AM86*(1+INDEX(AN$1:AN$2,MATCH($O86,$AI$1:$AI$2,0)))^(AN$16-AM$16),INDEX('AEA2012 update'!$AC$6:$AG$104,MATCH($T86&amp;$U86,'AEA2012 update'!$A$6:$A$104&amp;'AEA2012 update'!$B$6:$B$104,0),MATCH(AN$16,'AEA2012 update'!$AC$4:$AG$4,0)))</f>
        <v>9.096369859221868</v>
      </c>
      <c r="AO86" s="67">
        <f t="array" ref="AO86">IF($AE$1,AN86*(1+INDEX(AO$1:AO$2,MATCH($O86,$AI$1:$AI$2,0)))^(AO$16-AN$16),INDEX('AEA2012 update'!$AC$6:$AG$104,MATCH($T86&amp;$U86,'AEA2012 update'!$A$6:$A$104&amp;'AEA2012 update'!$B$6:$B$104,0),MATCH(AO$16,'AEA2012 update'!$AC$4:$AG$4,0)))</f>
        <v>8.2265938483306176</v>
      </c>
      <c r="AP86" s="67">
        <f t="array" ref="AP86">IF($AE$1,AO86*(1+INDEX(AP$1:AP$2,MATCH($O86,$AI$1:$AI$2,0)))^(AP$16-AO$16),INDEX('AEA2012 update'!$AC$6:$AG$104,MATCH($T86&amp;$U86,'AEA2012 update'!$A$6:$A$104&amp;'AEA2012 update'!$B$6:$B$104,0),MATCH(AP$16,'AEA2012 update'!$AC$4:$AG$4,0)))</f>
        <v>7.4399840148079086</v>
      </c>
      <c r="AQ86" s="67"/>
      <c r="AR86" s="274">
        <f t="shared" si="10"/>
        <v>-9.9900033333333435E-4</v>
      </c>
      <c r="AS86" s="274">
        <f t="shared" si="11"/>
        <v>-7.5326913841620427E-3</v>
      </c>
      <c r="AY86" s="61" t="str">
        <f t="shared" si="22"/>
        <v>HCV3-GAS</v>
      </c>
      <c r="AZ86" s="80" t="e" cm="1">
        <f t="array" aca="1" ref="AZ86" ca="1">AL86/INDIRECT("cv."&amp;LEFT($U86,6)&amp;".hhv.MJL") * 100</f>
        <v>#REF!</v>
      </c>
      <c r="BA86" s="80" t="e" cm="1">
        <f t="array" aca="1" ref="BA86" ca="1">AM86/INDIRECT("cv."&amp;LEFT($U86,6)&amp;".hhv.MJL") * 100</f>
        <v>#REF!</v>
      </c>
      <c r="BB86" s="80" t="e" cm="1">
        <f t="array" aca="1" ref="BB86" ca="1">AN86/INDIRECT("cv."&amp;LEFT($U86,6)&amp;".hhv.MJL") * 100</f>
        <v>#REF!</v>
      </c>
      <c r="BC86" s="80" t="e" cm="1">
        <f t="array" aca="1" ref="BC86" ca="1">AO86/INDIRECT("cv."&amp;LEFT($U86,6)&amp;".hhv.MJL") * 100</f>
        <v>#REF!</v>
      </c>
      <c r="BD86" s="80" t="e" cm="1">
        <f t="array" aca="1" ref="BD86" ca="1">AP86/INDIRECT("cv."&amp;LEFT($U86,6)&amp;".hhv.MJL") * 100</f>
        <v>#REF!</v>
      </c>
    </row>
    <row r="87" spans="1:56" x14ac:dyDescent="0.25">
      <c r="A87" s="61" t="s">
        <v>255</v>
      </c>
      <c r="C87" s="100">
        <f t="shared" si="19"/>
        <v>0.37698019424581086</v>
      </c>
      <c r="D87" s="7">
        <f t="shared" si="20"/>
        <v>5891.8234558677777</v>
      </c>
      <c r="O87" s="61" t="s">
        <v>653</v>
      </c>
      <c r="Q87" s="61" t="str">
        <f t="shared" si="7"/>
        <v/>
      </c>
      <c r="S87" s="65"/>
      <c r="T87" s="273"/>
      <c r="U87" s="277"/>
      <c r="V87" s="965"/>
      <c r="W87" s="958">
        <f t="shared" si="21"/>
        <v>0</v>
      </c>
      <c r="X87" s="959">
        <f t="shared" si="21"/>
        <v>0</v>
      </c>
      <c r="Y87" s="959">
        <f t="shared" si="21"/>
        <v>0</v>
      </c>
      <c r="Z87" s="959">
        <f t="shared" si="21"/>
        <v>0</v>
      </c>
      <c r="AA87" s="959">
        <f t="shared" si="21"/>
        <v>0</v>
      </c>
      <c r="AB87" s="959">
        <f t="shared" si="21"/>
        <v>0</v>
      </c>
      <c r="AC87" s="960">
        <f t="shared" si="21"/>
        <v>0</v>
      </c>
      <c r="AD87" s="103" t="e" cm="1">
        <f t="array" ref="AD87">IF(W87,INDEX('AEA2012 update'!$K$6:$R$104,MATCH($T87&amp;$R87,'AEA2012 update'!$A$6:$A$104&amp;'AEA2012 update'!$B$6:$B$104,0),MATCH(AD$16,'AEA2012 update'!$S$4:$Z$4,0)),INDEX('AEA2012 update'!$K$6:$R$104,MATCH($T87&amp;$U87,'AEA2012 update'!$A$6:$A$104&amp;'AEA2012 update'!$B$6:$B$104,0),MATCH(AD$16,'AEA2012 update'!$S$4:$Z$4,0)))</f>
        <v>#N/A</v>
      </c>
      <c r="AE87" s="103" t="e" cm="1">
        <f t="array" ref="AE87">IF(X87,INDEX('AEA2012 update'!$K$6:$R$104,MATCH($T87&amp;$R87,'AEA2012 update'!$A$6:$A$104&amp;'AEA2012 update'!$B$6:$B$104,0),MATCH(AE$16,'AEA2012 update'!$S$4:$Z$4,0)),INDEX('AEA2012 update'!$K$6:$R$104,MATCH($T87&amp;$U87,'AEA2012 update'!$A$6:$A$104&amp;'AEA2012 update'!$B$6:$B$104,0),MATCH(AE$16,'AEA2012 update'!$S$4:$Z$4,0)))</f>
        <v>#N/A</v>
      </c>
      <c r="AF87" s="103" t="e" cm="1">
        <f t="array" ref="AF87">IF(Y87,INDEX('AEA2012 update'!$K$6:$R$104,MATCH($T87&amp;$R87,'AEA2012 update'!$A$6:$A$104&amp;'AEA2012 update'!$B$6:$B$104,0),MATCH(AF$16,'AEA2012 update'!$S$4:$Z$4,0)),INDEX('AEA2012 update'!$K$6:$R$104,MATCH($T87&amp;$U87,'AEA2012 update'!$A$6:$A$104&amp;'AEA2012 update'!$B$6:$B$104,0),MATCH(AF$16,'AEA2012 update'!$S$4:$Z$4,0)))</f>
        <v>#N/A</v>
      </c>
      <c r="AG87" s="103" t="e" cm="1">
        <f t="array" ref="AG87">IF(Z87,INDEX('AEA2012 update'!$K$6:$R$104,MATCH($T87&amp;$R87,'AEA2012 update'!$A$6:$A$104&amp;'AEA2012 update'!$B$6:$B$104,0),MATCH(AG$16,'AEA2012 update'!$S$4:$Z$4,0)),INDEX('AEA2012 update'!$K$6:$R$104,MATCH($T87&amp;$U87,'AEA2012 update'!$A$6:$A$104&amp;'AEA2012 update'!$B$6:$B$104,0),MATCH(AG$16,'AEA2012 update'!$S$4:$Z$4,0)))</f>
        <v>#N/A</v>
      </c>
      <c r="AH87" s="103" t="e" cm="1">
        <f t="array" ref="AH87">IF(AA87,INDEX('AEA2012 update'!$K$6:$R$104,MATCH($T87&amp;$R87,'AEA2012 update'!$A$6:$A$104&amp;'AEA2012 update'!$B$6:$B$104,0),MATCH(AH$16,'AEA2012 update'!$S$4:$Z$4,0)),INDEX('AEA2012 update'!$K$6:$R$104,MATCH($T87&amp;$U87,'AEA2012 update'!$A$6:$A$104&amp;'AEA2012 update'!$B$6:$B$104,0),MATCH(AH$16,'AEA2012 update'!$S$4:$Z$4,0)))</f>
        <v>#N/A</v>
      </c>
      <c r="AI87" s="103" t="e" cm="1">
        <f t="array" ref="AI87">IF(AB87,INDEX('AEA2012 update'!$K$6:$R$104,MATCH($T87&amp;$R87,'AEA2012 update'!$A$6:$A$104&amp;'AEA2012 update'!$B$6:$B$104,0),MATCH(AI$16,'AEA2012 update'!$S$4:$Z$4,0)),INDEX('AEA2012 update'!$K$6:$R$104,MATCH($T87&amp;$U87,'AEA2012 update'!$A$6:$A$104&amp;'AEA2012 update'!$B$6:$B$104,0),MATCH(AI$16,'AEA2012 update'!$S$4:$Z$4,0)))</f>
        <v>#N/A</v>
      </c>
      <c r="AJ87" s="103" t="e" cm="1">
        <f t="array" ref="AJ87">IF(AC87,INDEX('AEA2012 update'!$K$6:$R$104,MATCH($T87&amp;$R87,'AEA2012 update'!$A$6:$A$104&amp;'AEA2012 update'!$B$6:$B$104,0),MATCH(AJ$16,'AEA2012 update'!$S$4:$Z$4,0)),INDEX('AEA2012 update'!$K$6:$R$104,MATCH($T87&amp;$U87,'AEA2012 update'!$A$6:$A$104&amp;'AEA2012 update'!$B$6:$B$104,0),MATCH(AJ$16,'AEA2012 update'!$S$4:$Z$4,0)))</f>
        <v>#N/A</v>
      </c>
      <c r="AK87" s="103" t="str">
        <f t="shared" si="13"/>
        <v/>
      </c>
      <c r="AL87" s="67" t="e">
        <f>1/INDEX(Analytica!$AA$17:$AE$48,MATCH($AK87,Analytica!$A$17:$A$48,0),MATCH(AL$16,Analytica!$AA$16:$AE$16,0))</f>
        <v>#N/A</v>
      </c>
      <c r="AM87" s="67" t="e">
        <f t="array" ref="AM87">IF($AE$1,AL87*(1+INDEX(AM$1:AM$2,MATCH($O87,$AI$1:$AI$2,0)))^(AM$16-AL$16),INDEX('AEA2012 update'!$AC$6:$AG$104,MATCH($T87&amp;$U87,'AEA2012 update'!$A$6:$A$104&amp;'AEA2012 update'!$B$6:$B$104,0),MATCH(AM$16,'AEA2012 update'!$AC$4:$AG$4,0)))</f>
        <v>#N/A</v>
      </c>
      <c r="AN87" s="67" t="e">
        <f t="array" ref="AN87">IF($AE$1,AM87*(1+INDEX(AN$1:AN$2,MATCH($O87,$AI$1:$AI$2,0)))^(AN$16-AM$16),INDEX('AEA2012 update'!$AC$6:$AG$104,MATCH($T87&amp;$U87,'AEA2012 update'!$A$6:$A$104&amp;'AEA2012 update'!$B$6:$B$104,0),MATCH(AN$16,'AEA2012 update'!$AC$4:$AG$4,0)))</f>
        <v>#N/A</v>
      </c>
      <c r="AO87" s="67" t="e">
        <f t="array" ref="AO87">IF($AE$1,AN87*(1+INDEX(AO$1:AO$2,MATCH($O87,$AI$1:$AI$2,0)))^(AO$16-AN$16),INDEX('AEA2012 update'!$AC$6:$AG$104,MATCH($T87&amp;$U87,'AEA2012 update'!$A$6:$A$104&amp;'AEA2012 update'!$B$6:$B$104,0),MATCH(AO$16,'AEA2012 update'!$AC$4:$AG$4,0)))</f>
        <v>#N/A</v>
      </c>
      <c r="AP87" s="67" t="e">
        <f t="array" ref="AP87">IF($AE$1,AO87*(1+INDEX(AP$1:AP$2,MATCH($O87,$AI$1:$AI$2,0)))^(AP$16-AO$16),INDEX('AEA2012 update'!$AC$6:$AG$104,MATCH($T87&amp;$U87,'AEA2012 update'!$A$6:$A$104&amp;'AEA2012 update'!$B$6:$B$104,0),MATCH(AP$16,'AEA2012 update'!$AC$4:$AG$4,0)))</f>
        <v>#N/A</v>
      </c>
      <c r="AQ87" s="67"/>
      <c r="AR87" s="274" t="e">
        <f t="shared" si="10"/>
        <v>#N/A</v>
      </c>
      <c r="AS87" s="274" t="e">
        <f t="shared" si="11"/>
        <v>#N/A</v>
      </c>
      <c r="AY87" s="61" t="str">
        <f t="shared" si="22"/>
        <v>-</v>
      </c>
      <c r="AZ87" s="80" t="e" cm="1">
        <f t="array" aca="1" ref="AZ87" ca="1">AL87/INDIRECT("cv."&amp;LEFT($U87,6)&amp;".hhv.MJL") * 100</f>
        <v>#N/A</v>
      </c>
      <c r="BA87" s="80" t="e" cm="1">
        <f t="array" aca="1" ref="BA87" ca="1">AM87/INDIRECT("cv."&amp;LEFT($U87,6)&amp;".hhv.MJL") * 100</f>
        <v>#N/A</v>
      </c>
      <c r="BB87" s="80" t="e" cm="1">
        <f t="array" aca="1" ref="BB87" ca="1">AN87/INDIRECT("cv."&amp;LEFT($U87,6)&amp;".hhv.MJL") * 100</f>
        <v>#N/A</v>
      </c>
      <c r="BC87" s="80" t="e" cm="1">
        <f t="array" aca="1" ref="BC87" ca="1">AO87/INDIRECT("cv."&amp;LEFT($U87,6)&amp;".hhv.MJL") * 100</f>
        <v>#N/A</v>
      </c>
      <c r="BD87" s="80" t="e" cm="1">
        <f t="array" aca="1" ref="BD87" ca="1">AP87/INDIRECT("cv."&amp;LEFT($U87,6)&amp;".hhv.MJL") * 100</f>
        <v>#N/A</v>
      </c>
    </row>
    <row r="88" spans="1:56" x14ac:dyDescent="0.25">
      <c r="A88" s="61" t="s">
        <v>253</v>
      </c>
      <c r="C88" s="100">
        <f t="shared" si="19"/>
        <v>9.8627268615223557E-2</v>
      </c>
      <c r="D88" s="7">
        <f t="shared" si="20"/>
        <v>1541.445581187329</v>
      </c>
      <c r="N88" s="61" t="s">
        <v>511</v>
      </c>
      <c r="O88" s="61" t="s">
        <v>653</v>
      </c>
      <c r="P88" s="61" t="s">
        <v>732</v>
      </c>
      <c r="Q88" s="61" t="str">
        <f t="shared" si="7"/>
        <v>CV4</v>
      </c>
      <c r="R88" s="61" t="s">
        <v>687</v>
      </c>
      <c r="S88" s="65"/>
      <c r="T88" s="273" t="s">
        <v>733</v>
      </c>
      <c r="U88" s="957" t="s">
        <v>687</v>
      </c>
      <c r="V88" s="965"/>
      <c r="W88" s="958">
        <f t="shared" si="21"/>
        <v>0</v>
      </c>
      <c r="X88" s="959">
        <f t="shared" si="21"/>
        <v>0</v>
      </c>
      <c r="Y88" s="959">
        <f t="shared" si="21"/>
        <v>0</v>
      </c>
      <c r="Z88" s="959">
        <f t="shared" si="21"/>
        <v>0</v>
      </c>
      <c r="AA88" s="959">
        <f t="shared" si="21"/>
        <v>0</v>
      </c>
      <c r="AB88" s="959">
        <f t="shared" si="21"/>
        <v>0</v>
      </c>
      <c r="AC88" s="960">
        <f t="shared" si="21"/>
        <v>0</v>
      </c>
      <c r="AD88" s="103" cm="1">
        <f t="array" ref="AD88">IF(W88,INDEX('AEA2012 update'!$K$6:$R$104,MATCH($T88&amp;$R88,'AEA2012 update'!$A$6:$A$104&amp;'AEA2012 update'!$B$6:$B$104,0),MATCH(AD$16,'AEA2012 update'!$S$4:$Z$4,0)),INDEX('AEA2012 update'!$K$6:$R$104,MATCH($T88&amp;$U88,'AEA2012 update'!$A$6:$A$104&amp;'AEA2012 update'!$B$6:$B$104,0),MATCH(AD$16,'AEA2012 update'!$S$4:$Z$4,0)))</f>
        <v>1137344.8503307651</v>
      </c>
      <c r="AE88" s="103" cm="1">
        <f t="array" ref="AE88">IF(X88,INDEX('AEA2012 update'!$K$6:$R$104,MATCH($T88&amp;$R88,'AEA2012 update'!$A$6:$A$104&amp;'AEA2012 update'!$B$6:$B$104,0),MATCH(AE$16,'AEA2012 update'!$S$4:$Z$4,0)),INDEX('AEA2012 update'!$K$6:$R$104,MATCH($T88&amp;$U88,'AEA2012 update'!$A$6:$A$104&amp;'AEA2012 update'!$B$6:$B$104,0),MATCH(AE$16,'AEA2012 update'!$S$4:$Z$4,0)))</f>
        <v>1383611.7088645061</v>
      </c>
      <c r="AF88" s="103" cm="1">
        <f t="array" ref="AF88">IF(Y88,INDEX('AEA2012 update'!$K$6:$R$104,MATCH($T88&amp;$R88,'AEA2012 update'!$A$6:$A$104&amp;'AEA2012 update'!$B$6:$B$104,0),MATCH(AF$16,'AEA2012 update'!$S$4:$Z$4,0)),INDEX('AEA2012 update'!$K$6:$R$104,MATCH($T88&amp;$U88,'AEA2012 update'!$A$6:$A$104&amp;'AEA2012 update'!$B$6:$B$104,0),MATCH(AF$16,'AEA2012 update'!$S$4:$Z$4,0)))</f>
        <v>1421742.7272348688</v>
      </c>
      <c r="AG88" s="103" cm="1">
        <f t="array" ref="AG88">IF(Z88,INDEX('AEA2012 update'!$K$6:$R$104,MATCH($T88&amp;$R88,'AEA2012 update'!$A$6:$A$104&amp;'AEA2012 update'!$B$6:$B$104,0),MATCH(AG$16,'AEA2012 update'!$S$4:$Z$4,0)),INDEX('AEA2012 update'!$K$6:$R$104,MATCH($T88&amp;$U88,'AEA2012 update'!$A$6:$A$104&amp;'AEA2012 update'!$B$6:$B$104,0),MATCH(AG$16,'AEA2012 update'!$S$4:$Z$4,0)))</f>
        <v>1459873.7456052315</v>
      </c>
      <c r="AH88" s="103" cm="1">
        <f t="array" ref="AH88">IF(AA88,INDEX('AEA2012 update'!$K$6:$R$104,MATCH($T88&amp;$R88,'AEA2012 update'!$A$6:$A$104&amp;'AEA2012 update'!$B$6:$B$104,0),MATCH(AH$16,'AEA2012 update'!$S$4:$Z$4,0)),INDEX('AEA2012 update'!$K$6:$R$104,MATCH($T88&amp;$U88,'AEA2012 update'!$A$6:$A$104&amp;'AEA2012 update'!$B$6:$B$104,0),MATCH(AH$16,'AEA2012 update'!$S$4:$Z$4,0)))</f>
        <v>1490827.5195919413</v>
      </c>
      <c r="AI88" s="103" cm="1">
        <f t="array" ref="AI88">IF(AB88,INDEX('AEA2012 update'!$K$6:$R$104,MATCH($T88&amp;$R88,'AEA2012 update'!$A$6:$A$104&amp;'AEA2012 update'!$B$6:$B$104,0),MATCH(AI$16,'AEA2012 update'!$S$4:$Z$4,0)),INDEX('AEA2012 update'!$K$6:$R$104,MATCH($T88&amp;$U88,'AEA2012 update'!$A$6:$A$104&amp;'AEA2012 update'!$B$6:$B$104,0),MATCH(AI$16,'AEA2012 update'!$S$4:$Z$4,0)))</f>
        <v>1521781.2935786508</v>
      </c>
      <c r="AJ88" s="103" cm="1">
        <f t="array" ref="AJ88">IF(AC88,INDEX('AEA2012 update'!$K$6:$R$104,MATCH($T88&amp;$R88,'AEA2012 update'!$A$6:$A$104&amp;'AEA2012 update'!$B$6:$B$104,0),MATCH(AJ$16,'AEA2012 update'!$S$4:$Z$4,0)),INDEX('AEA2012 update'!$K$6:$R$104,MATCH($T88&amp;$U88,'AEA2012 update'!$A$6:$A$104&amp;'AEA2012 update'!$B$6:$B$104,0),MATCH(AJ$16,'AEA2012 update'!$S$4:$Z$4,0)))</f>
        <v>1578803.6770707315</v>
      </c>
      <c r="AK88" s="103" t="str">
        <f t="shared" si="13"/>
        <v>CV4ODS</v>
      </c>
      <c r="AL88" s="67">
        <f>1/INDEX(Analytica!$AA$17:$AE$48,MATCH($AK88,Analytica!$A$17:$A$48,0),MATCH(AL$16,Analytica!$AA$16:$AE$16,0))</f>
        <v>9.7550044464299983</v>
      </c>
      <c r="AM88" s="67">
        <f t="array" ref="AM88">IF($AE$1,AL88*(1+INDEX(AM$1:AM$2,MATCH($O88,$AI$1:$AI$2,0)))^(AM$16-AL$16),INDEX('AEA2012 update'!$AC$6:$AG$104,MATCH($T88&amp;$U88,'AEA2012 update'!$A$6:$A$104&amp;'AEA2012 update'!$B$6:$B$104,0),MATCH(AM$16,'AEA2012 update'!$AC$4:$AG$4,0)))</f>
        <v>9.725768688349044</v>
      </c>
      <c r="AN88" s="67">
        <f t="array" ref="AN88">IF($AE$1,AM88*(1+INDEX(AN$1:AN$2,MATCH($O88,$AI$1:$AI$2,0)))^(AN$16-AM$16),INDEX('AEA2012 update'!$AC$6:$AG$104,MATCH($T88&amp;$U88,'AEA2012 update'!$A$6:$A$104&amp;'AEA2012 update'!$B$6:$B$104,0),MATCH(AN$16,'AEA2012 update'!$AC$4:$AG$4,0)))</f>
        <v>9.203898294800501</v>
      </c>
      <c r="AO88" s="67">
        <f t="array" ref="AO88">IF($AE$1,AN88*(1+INDEX(AO$1:AO$2,MATCH($O88,$AI$1:$AI$2,0)))^(AO$16-AN$16),INDEX('AEA2012 update'!$AC$6:$AG$104,MATCH($T88&amp;$U88,'AEA2012 update'!$A$6:$A$104&amp;'AEA2012 update'!$B$6:$B$104,0),MATCH(AO$16,'AEA2012 update'!$AC$4:$AG$4,0)))</f>
        <v>8.3238406380216734</v>
      </c>
      <c r="AP88" s="67">
        <f t="array" ref="AP88">IF($AE$1,AO88*(1+INDEX(AP$1:AP$2,MATCH($O88,$AI$1:$AI$2,0)))^(AP$16-AO$16),INDEX('AEA2012 update'!$AC$6:$AG$104,MATCH($T88&amp;$U88,'AEA2012 update'!$A$6:$A$104&amp;'AEA2012 update'!$B$6:$B$104,0),MATCH(AP$16,'AEA2012 update'!$AC$4:$AG$4,0)))</f>
        <v>7.5279322682566505</v>
      </c>
      <c r="AQ88" s="67"/>
      <c r="AR88" s="274">
        <f t="shared" si="10"/>
        <v>-9.9900033333330616E-4</v>
      </c>
      <c r="AS88" s="274">
        <f t="shared" si="11"/>
        <v>-7.5326913841620392E-3</v>
      </c>
      <c r="AY88" s="61" t="str">
        <f t="shared" si="22"/>
        <v>HCV4-ODS</v>
      </c>
      <c r="AZ88" s="80" t="e" cm="1">
        <f t="array" aca="1" ref="AZ88" ca="1">AL88/INDIRECT("cv."&amp;LEFT($U88,6)&amp;".hhv.MJL") * 100</f>
        <v>#REF!</v>
      </c>
      <c r="BA88" s="80" t="e" cm="1">
        <f t="array" aca="1" ref="BA88" ca="1">AM88/INDIRECT("cv."&amp;LEFT($U88,6)&amp;".hhv.MJL") * 100</f>
        <v>#REF!</v>
      </c>
      <c r="BB88" s="80" t="e" cm="1">
        <f t="array" aca="1" ref="BB88" ca="1">AN88/INDIRECT("cv."&amp;LEFT($U88,6)&amp;".hhv.MJL") * 100</f>
        <v>#REF!</v>
      </c>
      <c r="BC88" s="80" t="e" cm="1">
        <f t="array" aca="1" ref="BC88" ca="1">AO88/INDIRECT("cv."&amp;LEFT($U88,6)&amp;".hhv.MJL") * 100</f>
        <v>#REF!</v>
      </c>
      <c r="BD88" s="80" t="e" cm="1">
        <f t="array" aca="1" ref="BD88" ca="1">AP88/INDIRECT("cv."&amp;LEFT($U88,6)&amp;".hhv.MJL") * 100</f>
        <v>#REF!</v>
      </c>
    </row>
    <row r="89" spans="1:56" x14ac:dyDescent="0.25">
      <c r="A89" s="61" t="s">
        <v>251</v>
      </c>
      <c r="C89" s="100">
        <f t="shared" si="19"/>
        <v>2.2057216623212936E-3</v>
      </c>
      <c r="D89" s="7">
        <f t="shared" si="20"/>
        <v>34.473223860419495</v>
      </c>
      <c r="N89" s="61" t="s">
        <v>504</v>
      </c>
      <c r="O89" s="61" t="s">
        <v>653</v>
      </c>
      <c r="P89" s="61" t="s">
        <v>732</v>
      </c>
      <c r="Q89" s="61" t="str">
        <f t="shared" si="7"/>
        <v>CV4</v>
      </c>
      <c r="R89" s="61" t="s">
        <v>687</v>
      </c>
      <c r="S89" s="65"/>
      <c r="T89" s="273" t="s">
        <v>733</v>
      </c>
      <c r="U89" s="957" t="s">
        <v>699</v>
      </c>
      <c r="V89" s="965">
        <v>2050</v>
      </c>
      <c r="W89" s="958">
        <f t="shared" si="21"/>
        <v>0</v>
      </c>
      <c r="X89" s="959">
        <f t="shared" si="21"/>
        <v>0</v>
      </c>
      <c r="Y89" s="959">
        <f t="shared" si="21"/>
        <v>0</v>
      </c>
      <c r="Z89" s="959">
        <f t="shared" si="21"/>
        <v>0</v>
      </c>
      <c r="AA89" s="959">
        <f t="shared" si="21"/>
        <v>0</v>
      </c>
      <c r="AB89" s="959">
        <f t="shared" si="21"/>
        <v>0</v>
      </c>
      <c r="AC89" s="960">
        <f t="shared" si="21"/>
        <v>1</v>
      </c>
      <c r="AD89" s="103" cm="1">
        <f t="array" ref="AD89">IF(W89,INDEX('AEA2012 update'!$K$6:$R$104,MATCH($T89&amp;$R89,'AEA2012 update'!$A$6:$A$104&amp;'AEA2012 update'!$B$6:$B$104,0),MATCH(AD$16,'AEA2012 update'!$S$4:$Z$4,0)),INDEX('AEA2012 update'!$K$6:$R$104,MATCH($T89&amp;$U89,'AEA2012 update'!$A$6:$A$104&amp;'AEA2012 update'!$B$6:$B$104,0),MATCH(AD$16,'AEA2012 update'!$S$4:$Z$4,0)))</f>
        <v>6360106.1214327365</v>
      </c>
      <c r="AE89" s="103" cm="1">
        <f t="array" ref="AE89">IF(X89,INDEX('AEA2012 update'!$K$6:$R$104,MATCH($T89&amp;$R89,'AEA2012 update'!$A$6:$A$104&amp;'AEA2012 update'!$B$6:$B$104,0),MATCH(AE$16,'AEA2012 update'!$S$4:$Z$4,0)),INDEX('AEA2012 update'!$K$6:$R$104,MATCH($T89&amp;$U89,'AEA2012 update'!$A$6:$A$104&amp;'AEA2012 update'!$B$6:$B$104,0),MATCH(AE$16,'AEA2012 update'!$S$4:$Z$4,0)))</f>
        <v>2830881.8939991225</v>
      </c>
      <c r="AF89" s="103" cm="1">
        <f t="array" ref="AF89">IF(Y89,INDEX('AEA2012 update'!$K$6:$R$104,MATCH($T89&amp;$R89,'AEA2012 update'!$A$6:$A$104&amp;'AEA2012 update'!$B$6:$B$104,0),MATCH(AF$16,'AEA2012 update'!$S$4:$Z$4,0)),INDEX('AEA2012 update'!$K$6:$R$104,MATCH($T89&amp;$U89,'AEA2012 update'!$A$6:$A$104&amp;'AEA2012 update'!$B$6:$B$104,0),MATCH(AF$16,'AEA2012 update'!$S$4:$Z$4,0)))</f>
        <v>2272344.3366048341</v>
      </c>
      <c r="AG89" s="103" cm="1">
        <f t="array" ref="AG89">IF(Z89,INDEX('AEA2012 update'!$K$6:$R$104,MATCH($T89&amp;$R89,'AEA2012 update'!$A$6:$A$104&amp;'AEA2012 update'!$B$6:$B$104,0),MATCH(AG$16,'AEA2012 update'!$S$4:$Z$4,0)),INDEX('AEA2012 update'!$K$6:$R$104,MATCH($T89&amp;$U89,'AEA2012 update'!$A$6:$A$104&amp;'AEA2012 update'!$B$6:$B$104,0),MATCH(AG$16,'AEA2012 update'!$S$4:$Z$4,0)))</f>
        <v>1713806.7792105449</v>
      </c>
      <c r="AH89" s="103" cm="1">
        <f t="array" ref="AH89">IF(AA89,INDEX('AEA2012 update'!$K$6:$R$104,MATCH($T89&amp;$R89,'AEA2012 update'!$A$6:$A$104&amp;'AEA2012 update'!$B$6:$B$104,0),MATCH(AH$16,'AEA2012 update'!$S$4:$Z$4,0)),INDEX('AEA2012 update'!$K$6:$R$104,MATCH($T89&amp;$U89,'AEA2012 update'!$A$6:$A$104&amp;'AEA2012 update'!$B$6:$B$104,0),MATCH(AH$16,'AEA2012 update'!$S$4:$Z$4,0)))</f>
        <v>1666904.5825543196</v>
      </c>
      <c r="AI89" s="103" cm="1">
        <f t="array" ref="AI89">IF(AB89,INDEX('AEA2012 update'!$K$6:$R$104,MATCH($T89&amp;$R89,'AEA2012 update'!$A$6:$A$104&amp;'AEA2012 update'!$B$6:$B$104,0),MATCH(AI$16,'AEA2012 update'!$S$4:$Z$4,0)),INDEX('AEA2012 update'!$K$6:$R$104,MATCH($T89&amp;$U89,'AEA2012 update'!$A$6:$A$104&amp;'AEA2012 update'!$B$6:$B$104,0),MATCH(AI$16,'AEA2012 update'!$S$4:$Z$4,0)))</f>
        <v>1620002.3858980946</v>
      </c>
      <c r="AJ89" s="103" cm="1">
        <f t="array" ref="AJ89">IF(AC89,INDEX('AEA2012 update'!$K$6:$R$104,MATCH($T89&amp;$R89,'AEA2012 update'!$A$6:$A$104&amp;'AEA2012 update'!$B$6:$B$104,0),MATCH(AJ$16,'AEA2012 update'!$S$4:$Z$4,0)),INDEX('AEA2012 update'!$K$6:$R$104,MATCH($T89&amp;$U89,'AEA2012 update'!$A$6:$A$104&amp;'AEA2012 update'!$B$6:$B$104,0),MATCH(AJ$16,'AEA2012 update'!$S$4:$Z$4,0)))</f>
        <v>1578803.6770707315</v>
      </c>
      <c r="AK89" s="103" t="str">
        <f t="shared" si="13"/>
        <v>CV4HGN</v>
      </c>
      <c r="AL89" s="67">
        <f>INDEX('Vehicle data '!$AD$20:$AD$110,MATCH($AK89,'Vehicle data '!$AC$20:$AC$110,0))/INDEX('Vehicle data '!$AD$20:$AD$110,MATCH($AK$88,'Vehicle data '!$AC$20:$AC$110,0))*AL$88</f>
        <v>4.6238205653232871</v>
      </c>
      <c r="AM89" s="67">
        <f t="array" ref="AM89">IF($AE$1,AL89*(1+INDEX(AM$1:AM$2,MATCH($O89,$AI$1:$AI$2,0)))^(AM$16-AL$16),INDEX('AEA2012 update'!$AC$6:$AG$104,MATCH($T89&amp;$U89,'AEA2012 update'!$A$6:$A$104&amp;'AEA2012 update'!$B$6:$B$104,0),MATCH(AM$16,'AEA2012 update'!$AC$4:$AG$4,0)))</f>
        <v>4.609962970465193</v>
      </c>
      <c r="AN89" s="67">
        <f t="array" ref="AN89">IF($AE$1,AM89*(1+INDEX(AN$1:AN$2,MATCH($O89,$AI$1:$AI$2,0)))^(AN$16-AM$16),INDEX('AEA2012 update'!$AC$6:$AG$104,MATCH($T89&amp;$U89,'AEA2012 update'!$A$6:$A$104&amp;'AEA2012 update'!$B$6:$B$104,0),MATCH(AN$16,'AEA2012 update'!$AC$4:$AG$4,0)))</f>
        <v>4.3625991613173465</v>
      </c>
      <c r="AO89" s="67">
        <f t="array" ref="AO89">IF($AE$1,AN89*(1+INDEX(AO$1:AO$2,MATCH($O89,$AI$1:$AI$2,0)))^(AO$16-AN$16),INDEX('AEA2012 update'!$AC$6:$AG$104,MATCH($T89&amp;$U89,'AEA2012 update'!$A$6:$A$104&amp;'AEA2012 update'!$B$6:$B$104,0),MATCH(AO$16,'AEA2012 update'!$AC$4:$AG$4,0)))</f>
        <v>3.9454564819438511</v>
      </c>
      <c r="AP89" s="67">
        <f t="array" ref="AP89">IF($AE$1,AO89*(1+INDEX(AP$1:AP$2,MATCH($O89,$AI$1:$AI$2,0)))^(AP$16-AO$16),INDEX('AEA2012 update'!$AC$6:$AG$104,MATCH($T89&amp;$U89,'AEA2012 update'!$A$6:$A$104&amp;'AEA2012 update'!$B$6:$B$104,0),MATCH(AP$16,'AEA2012 update'!$AC$4:$AG$4,0)))</f>
        <v>3.568200119997317</v>
      </c>
      <c r="AQ89" s="67"/>
      <c r="AR89" s="274">
        <f t="shared" si="10"/>
        <v>-9.9900033333330941E-4</v>
      </c>
      <c r="AS89" s="274">
        <f t="shared" si="11"/>
        <v>-7.5326913841620392E-3</v>
      </c>
      <c r="AY89" s="61" t="str">
        <f t="shared" si="22"/>
        <v>HCV4-HGN</v>
      </c>
      <c r="AZ89" s="80" t="e" cm="1">
        <f t="array" aca="1" ref="AZ89" ca="1">AL89/INDIRECT("cv."&amp;LEFT($U89,6)&amp;".hhv.MJL") * 100</f>
        <v>#REF!</v>
      </c>
      <c r="BA89" s="80" t="e" cm="1">
        <f t="array" aca="1" ref="BA89" ca="1">AM89/INDIRECT("cv."&amp;LEFT($U89,6)&amp;".hhv.MJL") * 100</f>
        <v>#REF!</v>
      </c>
      <c r="BB89" s="80" t="e" cm="1">
        <f t="array" aca="1" ref="BB89" ca="1">AN89/INDIRECT("cv."&amp;LEFT($U89,6)&amp;".hhv.MJL") * 100</f>
        <v>#REF!</v>
      </c>
      <c r="BC89" s="80" t="e" cm="1">
        <f t="array" aca="1" ref="BC89" ca="1">AO89/INDIRECT("cv."&amp;LEFT($U89,6)&amp;".hhv.MJL") * 100</f>
        <v>#REF!</v>
      </c>
      <c r="BD89" s="80" t="e" cm="1">
        <f t="array" aca="1" ref="BD89" ca="1">AP89/INDIRECT("cv."&amp;LEFT($U89,6)&amp;".hhv.MJL") * 100</f>
        <v>#REF!</v>
      </c>
    </row>
    <row r="90" spans="1:56" x14ac:dyDescent="0.25">
      <c r="A90" s="61" t="s">
        <v>249</v>
      </c>
      <c r="C90" s="100">
        <f t="shared" si="19"/>
        <v>2.6123063005372002E-3</v>
      </c>
      <c r="D90" s="7">
        <f t="shared" si="20"/>
        <v>40.827735171095902</v>
      </c>
      <c r="N90" s="61" t="s">
        <v>509</v>
      </c>
      <c r="O90" s="61" t="s">
        <v>653</v>
      </c>
      <c r="P90" s="61" t="s">
        <v>732</v>
      </c>
      <c r="Q90" s="61" t="str">
        <f t="shared" ref="Q90:Q110" si="23">RIGHT(P90,3)</f>
        <v>CV4</v>
      </c>
      <c r="R90" s="61" t="s">
        <v>687</v>
      </c>
      <c r="S90" s="65"/>
      <c r="T90" s="273" t="s">
        <v>733</v>
      </c>
      <c r="U90" s="957" t="s">
        <v>700</v>
      </c>
      <c r="V90" s="965"/>
      <c r="W90" s="958">
        <f t="shared" si="21"/>
        <v>0</v>
      </c>
      <c r="X90" s="959">
        <f t="shared" si="21"/>
        <v>0</v>
      </c>
      <c r="Y90" s="959">
        <f t="shared" si="21"/>
        <v>0</v>
      </c>
      <c r="Z90" s="959">
        <f t="shared" si="21"/>
        <v>0</v>
      </c>
      <c r="AA90" s="959">
        <f t="shared" si="21"/>
        <v>0</v>
      </c>
      <c r="AB90" s="959">
        <f t="shared" si="21"/>
        <v>0</v>
      </c>
      <c r="AC90" s="960">
        <f t="shared" si="21"/>
        <v>0</v>
      </c>
      <c r="AD90" s="103" cm="1">
        <f t="array" ref="AD90">IF(W90,INDEX('AEA2012 update'!$K$6:$R$104,MATCH($T90&amp;$R90,'AEA2012 update'!$A$6:$A$104&amp;'AEA2012 update'!$B$6:$B$104,0),MATCH(AD$16,'AEA2012 update'!$S$4:$Z$4,0)),INDEX('AEA2012 update'!$K$6:$R$104,MATCH($T90&amp;$U90,'AEA2012 update'!$A$6:$A$104&amp;'AEA2012 update'!$B$6:$B$104,0),MATCH(AD$16,'AEA2012 update'!$S$4:$Z$4,0)))</f>
        <v>1624779.2570494437</v>
      </c>
      <c r="AE90" s="103" cm="1">
        <f t="array" ref="AE90">IF(X90,INDEX('AEA2012 update'!$K$6:$R$104,MATCH($T90&amp;$R90,'AEA2012 update'!$A$6:$A$104&amp;'AEA2012 update'!$B$6:$B$104,0),MATCH(AE$16,'AEA2012 update'!$S$4:$Z$4,0)),INDEX('AEA2012 update'!$K$6:$R$104,MATCH($T90&amp;$U90,'AEA2012 update'!$A$6:$A$104&amp;'AEA2012 update'!$B$6:$B$104,0),MATCH(AE$16,'AEA2012 update'!$S$4:$Z$4,0)))</f>
        <v>1664860.6987788989</v>
      </c>
      <c r="AF90" s="103" cm="1">
        <f t="array" ref="AF90">IF(Y90,INDEX('AEA2012 update'!$K$6:$R$104,MATCH($T90&amp;$R90,'AEA2012 update'!$A$6:$A$104&amp;'AEA2012 update'!$B$6:$B$104,0),MATCH(AF$16,'AEA2012 update'!$S$4:$Z$4,0)),INDEX('AEA2012 update'!$K$6:$R$104,MATCH($T90&amp;$U90,'AEA2012 update'!$A$6:$A$104&amp;'AEA2012 update'!$B$6:$B$104,0),MATCH(AF$16,'AEA2012 update'!$S$4:$Z$4,0)))</f>
        <v>1668630.0219125191</v>
      </c>
      <c r="AG90" s="103" cm="1">
        <f t="array" ref="AG90">IF(Z90,INDEX('AEA2012 update'!$K$6:$R$104,MATCH($T90&amp;$R90,'AEA2012 update'!$A$6:$A$104&amp;'AEA2012 update'!$B$6:$B$104,0),MATCH(AG$16,'AEA2012 update'!$S$4:$Z$4,0)),INDEX('AEA2012 update'!$K$6:$R$104,MATCH($T90&amp;$U90,'AEA2012 update'!$A$6:$A$104&amp;'AEA2012 update'!$B$6:$B$104,0),MATCH(AG$16,'AEA2012 update'!$S$4:$Z$4,0)))</f>
        <v>1672399.3450461391</v>
      </c>
      <c r="AH90" s="103" cm="1">
        <f t="array" ref="AH90">IF(AA90,INDEX('AEA2012 update'!$K$6:$R$104,MATCH($T90&amp;$R90,'AEA2012 update'!$A$6:$A$104&amp;'AEA2012 update'!$B$6:$B$104,0),MATCH(AH$16,'AEA2012 update'!$S$4:$Z$4,0)),INDEX('AEA2012 update'!$K$6:$R$104,MATCH($T90&amp;$U90,'AEA2012 update'!$A$6:$A$104&amp;'AEA2012 update'!$B$6:$B$104,0),MATCH(AH$16,'AEA2012 update'!$S$4:$Z$4,0)))</f>
        <v>1685256.2227432285</v>
      </c>
      <c r="AI90" s="103" cm="1">
        <f t="array" ref="AI90">IF(AB90,INDEX('AEA2012 update'!$K$6:$R$104,MATCH($T90&amp;$R90,'AEA2012 update'!$A$6:$A$104&amp;'AEA2012 update'!$B$6:$B$104,0),MATCH(AI$16,'AEA2012 update'!$S$4:$Z$4,0)),INDEX('AEA2012 update'!$K$6:$R$104,MATCH($T90&amp;$U90,'AEA2012 update'!$A$6:$A$104&amp;'AEA2012 update'!$B$6:$B$104,0),MATCH(AI$16,'AEA2012 update'!$S$4:$Z$4,0)))</f>
        <v>1698113.1004403182</v>
      </c>
      <c r="AJ90" s="103" cm="1">
        <f t="array" ref="AJ90">IF(AC90,INDEX('AEA2012 update'!$K$6:$R$104,MATCH($T90&amp;$R90,'AEA2012 update'!$A$6:$A$104&amp;'AEA2012 update'!$B$6:$B$104,0),MATCH(AJ$16,'AEA2012 update'!$S$4:$Z$4,0)),INDEX('AEA2012 update'!$K$6:$R$104,MATCH($T90&amp;$U90,'AEA2012 update'!$A$6:$A$104&amp;'AEA2012 update'!$B$6:$B$104,0),MATCH(AJ$16,'AEA2012 update'!$S$4:$Z$4,0)))</f>
        <v>1731294.0437307595</v>
      </c>
      <c r="AK90" s="103" t="str">
        <f t="shared" si="13"/>
        <v>CV4GAS</v>
      </c>
      <c r="AL90" s="67">
        <f>INDEX('Vehicle data '!$AD$20:$AD$110,MATCH($AK90,'Vehicle data '!$AC$20:$AC$110,0))/INDEX('Vehicle data '!$AD$20:$AD$110,MATCH($AK$88,'Vehicle data '!$AC$20:$AC$110,0))*AL$88</f>
        <v>11.218255113394497</v>
      </c>
      <c r="AM90" s="67">
        <f t="array" ref="AM90">IF($AE$1,AL90*(1+INDEX(AM$1:AM$2,MATCH($O90,$AI$1:$AI$2,0)))^(AM$16-AL$16),INDEX('AEA2012 update'!$AC$6:$AG$104,MATCH($T90&amp;$U90,'AEA2012 update'!$A$6:$A$104&amp;'AEA2012 update'!$B$6:$B$104,0),MATCH(AM$16,'AEA2012 update'!$AC$4:$AG$4,0)))</f>
        <v>11.184633991601398</v>
      </c>
      <c r="AN90" s="67">
        <f t="array" ref="AN90">IF($AE$1,AM90*(1+INDEX(AN$1:AN$2,MATCH($O90,$AI$1:$AI$2,0)))^(AN$16-AM$16),INDEX('AEA2012 update'!$AC$6:$AG$104,MATCH($T90&amp;$U90,'AEA2012 update'!$A$6:$A$104&amp;'AEA2012 update'!$B$6:$B$104,0),MATCH(AN$16,'AEA2012 update'!$AC$4:$AG$4,0)))</f>
        <v>10.584483039020574</v>
      </c>
      <c r="AO90" s="67">
        <f t="array" ref="AO90">IF($AE$1,AN90*(1+INDEX(AO$1:AO$2,MATCH($O90,$AI$1:$AI$2,0)))^(AO$16-AN$16),INDEX('AEA2012 update'!$AC$6:$AG$104,MATCH($T90&amp;$U90,'AEA2012 update'!$A$6:$A$104&amp;'AEA2012 update'!$B$6:$B$104,0),MATCH(AO$16,'AEA2012 update'!$AC$4:$AG$4,0)))</f>
        <v>9.5724167337249213</v>
      </c>
      <c r="AP90" s="67">
        <f t="array" ref="AP90">IF($AE$1,AO90*(1+INDEX(AP$1:AP$2,MATCH($O90,$AI$1:$AI$2,0)))^(AP$16-AO$16),INDEX('AEA2012 update'!$AC$6:$AG$104,MATCH($T90&amp;$U90,'AEA2012 update'!$A$6:$A$104&amp;'AEA2012 update'!$B$6:$B$104,0),MATCH(AP$16,'AEA2012 update'!$AC$4:$AG$4,0)))</f>
        <v>8.6571221084951446</v>
      </c>
      <c r="AQ90" s="67"/>
      <c r="AR90" s="274">
        <f t="shared" ref="AR90:AR111" si="24">-((AL90-AM90)/($AM$16-$AL$16))/AL90</f>
        <v>-9.9900033333333261E-4</v>
      </c>
      <c r="AS90" s="274">
        <f t="shared" ref="AS90:AS110" si="25">-((AM90-AP90)/($AP$16-$AM$16))/AM90</f>
        <v>-7.5326913841620435E-3</v>
      </c>
      <c r="AY90" s="61" t="str">
        <f t="shared" si="22"/>
        <v>HCV4-GAS</v>
      </c>
      <c r="AZ90" s="80" t="e" cm="1">
        <f t="array" aca="1" ref="AZ90" ca="1">AL90/INDIRECT("cv."&amp;LEFT($U90,6)&amp;".hhv.MJL") * 100</f>
        <v>#REF!</v>
      </c>
      <c r="BA90" s="80" t="e" cm="1">
        <f t="array" aca="1" ref="BA90" ca="1">AM90/INDIRECT("cv."&amp;LEFT($U90,6)&amp;".hhv.MJL") * 100</f>
        <v>#REF!</v>
      </c>
      <c r="BB90" s="80" t="e" cm="1">
        <f t="array" aca="1" ref="BB90" ca="1">AN90/INDIRECT("cv."&amp;LEFT($U90,6)&amp;".hhv.MJL") * 100</f>
        <v>#REF!</v>
      </c>
      <c r="BC90" s="80" t="e" cm="1">
        <f t="array" aca="1" ref="BC90" ca="1">AO90/INDIRECT("cv."&amp;LEFT($U90,6)&amp;".hhv.MJL") * 100</f>
        <v>#REF!</v>
      </c>
      <c r="BD90" s="80" t="e" cm="1">
        <f t="array" aca="1" ref="BD90" ca="1">AP90/INDIRECT("cv."&amp;LEFT($U90,6)&amp;".hhv.MJL") * 100</f>
        <v>#REF!</v>
      </c>
    </row>
    <row r="91" spans="1:56" x14ac:dyDescent="0.25">
      <c r="C91" s="76">
        <f>SUM(C83:C90)</f>
        <v>0.99999999999999989</v>
      </c>
      <c r="D91" s="7">
        <f>SUM(D83:D90)</f>
        <v>15628.999999999998</v>
      </c>
      <c r="O91" s="61" t="s">
        <v>653</v>
      </c>
      <c r="Q91" s="61" t="str">
        <f t="shared" si="23"/>
        <v/>
      </c>
      <c r="S91" s="65"/>
      <c r="T91" s="273"/>
      <c r="U91" s="277"/>
      <c r="V91" s="965"/>
      <c r="W91" s="958">
        <f t="shared" si="21"/>
        <v>0</v>
      </c>
      <c r="X91" s="959">
        <f t="shared" si="21"/>
        <v>0</v>
      </c>
      <c r="Y91" s="959">
        <f t="shared" si="21"/>
        <v>0</v>
      </c>
      <c r="Z91" s="959">
        <f t="shared" si="21"/>
        <v>0</v>
      </c>
      <c r="AA91" s="959">
        <f t="shared" si="21"/>
        <v>0</v>
      </c>
      <c r="AB91" s="959">
        <f t="shared" si="21"/>
        <v>0</v>
      </c>
      <c r="AC91" s="960">
        <f t="shared" si="21"/>
        <v>0</v>
      </c>
      <c r="AD91" s="103" t="e" cm="1">
        <f t="array" ref="AD91">IF(W91,INDEX('AEA2012 update'!$K$6:$R$104,MATCH($T91&amp;$R91,'AEA2012 update'!$A$6:$A$104&amp;'AEA2012 update'!$B$6:$B$104,0),MATCH(AD$16,'AEA2012 update'!$S$4:$Z$4,0)),INDEX('AEA2012 update'!$K$6:$R$104,MATCH($T91&amp;$U91,'AEA2012 update'!$A$6:$A$104&amp;'AEA2012 update'!$B$6:$B$104,0),MATCH(AD$16,'AEA2012 update'!$S$4:$Z$4,0)))</f>
        <v>#N/A</v>
      </c>
      <c r="AE91" s="103" t="e" cm="1">
        <f t="array" ref="AE91">IF(X91,INDEX('AEA2012 update'!$K$6:$R$104,MATCH($T91&amp;$R91,'AEA2012 update'!$A$6:$A$104&amp;'AEA2012 update'!$B$6:$B$104,0),MATCH(AE$16,'AEA2012 update'!$S$4:$Z$4,0)),INDEX('AEA2012 update'!$K$6:$R$104,MATCH($T91&amp;$U91,'AEA2012 update'!$A$6:$A$104&amp;'AEA2012 update'!$B$6:$B$104,0),MATCH(AE$16,'AEA2012 update'!$S$4:$Z$4,0)))</f>
        <v>#N/A</v>
      </c>
      <c r="AF91" s="103" t="e" cm="1">
        <f t="array" ref="AF91">IF(Y91,INDEX('AEA2012 update'!$K$6:$R$104,MATCH($T91&amp;$R91,'AEA2012 update'!$A$6:$A$104&amp;'AEA2012 update'!$B$6:$B$104,0),MATCH(AF$16,'AEA2012 update'!$S$4:$Z$4,0)),INDEX('AEA2012 update'!$K$6:$R$104,MATCH($T91&amp;$U91,'AEA2012 update'!$A$6:$A$104&amp;'AEA2012 update'!$B$6:$B$104,0),MATCH(AF$16,'AEA2012 update'!$S$4:$Z$4,0)))</f>
        <v>#N/A</v>
      </c>
      <c r="AG91" s="103" t="e" cm="1">
        <f t="array" ref="AG91">IF(Z91,INDEX('AEA2012 update'!$K$6:$R$104,MATCH($T91&amp;$R91,'AEA2012 update'!$A$6:$A$104&amp;'AEA2012 update'!$B$6:$B$104,0),MATCH(AG$16,'AEA2012 update'!$S$4:$Z$4,0)),INDEX('AEA2012 update'!$K$6:$R$104,MATCH($T91&amp;$U91,'AEA2012 update'!$A$6:$A$104&amp;'AEA2012 update'!$B$6:$B$104,0),MATCH(AG$16,'AEA2012 update'!$S$4:$Z$4,0)))</f>
        <v>#N/A</v>
      </c>
      <c r="AH91" s="103" t="e" cm="1">
        <f t="array" ref="AH91">IF(AA91,INDEX('AEA2012 update'!$K$6:$R$104,MATCH($T91&amp;$R91,'AEA2012 update'!$A$6:$A$104&amp;'AEA2012 update'!$B$6:$B$104,0),MATCH(AH$16,'AEA2012 update'!$S$4:$Z$4,0)),INDEX('AEA2012 update'!$K$6:$R$104,MATCH($T91&amp;$U91,'AEA2012 update'!$A$6:$A$104&amp;'AEA2012 update'!$B$6:$B$104,0),MATCH(AH$16,'AEA2012 update'!$S$4:$Z$4,0)))</f>
        <v>#N/A</v>
      </c>
      <c r="AI91" s="103" t="e" cm="1">
        <f t="array" ref="AI91">IF(AB91,INDEX('AEA2012 update'!$K$6:$R$104,MATCH($T91&amp;$R91,'AEA2012 update'!$A$6:$A$104&amp;'AEA2012 update'!$B$6:$B$104,0),MATCH(AI$16,'AEA2012 update'!$S$4:$Z$4,0)),INDEX('AEA2012 update'!$K$6:$R$104,MATCH($T91&amp;$U91,'AEA2012 update'!$A$6:$A$104&amp;'AEA2012 update'!$B$6:$B$104,0),MATCH(AI$16,'AEA2012 update'!$S$4:$Z$4,0)))</f>
        <v>#N/A</v>
      </c>
      <c r="AJ91" s="103" t="e" cm="1">
        <f t="array" ref="AJ91">IF(AC91,INDEX('AEA2012 update'!$K$6:$R$104,MATCH($T91&amp;$R91,'AEA2012 update'!$A$6:$A$104&amp;'AEA2012 update'!$B$6:$B$104,0),MATCH(AJ$16,'AEA2012 update'!$S$4:$Z$4,0)),INDEX('AEA2012 update'!$K$6:$R$104,MATCH($T91&amp;$U91,'AEA2012 update'!$A$6:$A$104&amp;'AEA2012 update'!$B$6:$B$104,0),MATCH(AJ$16,'AEA2012 update'!$S$4:$Z$4,0)))</f>
        <v>#N/A</v>
      </c>
      <c r="AK91" s="103" t="str">
        <f t="shared" si="13"/>
        <v/>
      </c>
      <c r="AL91" s="67" t="e">
        <f>1/INDEX(Analytica!$AA$17:$AE$48,MATCH($AK91,Analytica!$A$17:$A$48,0),MATCH(AL$16,Analytica!$AA$16:$AE$16,0))</f>
        <v>#N/A</v>
      </c>
      <c r="AM91" s="67" t="e">
        <f t="array" ref="AM91">IF($AE$1,AL91*(1+INDEX(AM$1:AM$2,MATCH($O91,$AI$1:$AI$2,0)))^(AM$16-AL$16),INDEX('AEA2012 update'!$AC$6:$AG$104,MATCH($T91&amp;$U91,'AEA2012 update'!$A$6:$A$104&amp;'AEA2012 update'!$B$6:$B$104,0),MATCH(AM$16,'AEA2012 update'!$AC$4:$AG$4,0)))</f>
        <v>#N/A</v>
      </c>
      <c r="AN91" s="67" t="e">
        <f t="array" ref="AN91">IF($AE$1,AM91*(1+INDEX(AN$1:AN$2,MATCH($O91,$AI$1:$AI$2,0)))^(AN$16-AM$16),INDEX('AEA2012 update'!$AC$6:$AG$104,MATCH($T91&amp;$U91,'AEA2012 update'!$A$6:$A$104&amp;'AEA2012 update'!$B$6:$B$104,0),MATCH(AN$16,'AEA2012 update'!$AC$4:$AG$4,0)))</f>
        <v>#N/A</v>
      </c>
      <c r="AO91" s="67" t="e">
        <f t="array" ref="AO91">IF($AE$1,AN91*(1+INDEX(AO$1:AO$2,MATCH($O91,$AI$1:$AI$2,0)))^(AO$16-AN$16),INDEX('AEA2012 update'!$AC$6:$AG$104,MATCH($T91&amp;$U91,'AEA2012 update'!$A$6:$A$104&amp;'AEA2012 update'!$B$6:$B$104,0),MATCH(AO$16,'AEA2012 update'!$AC$4:$AG$4,0)))</f>
        <v>#N/A</v>
      </c>
      <c r="AP91" s="67" t="e">
        <f t="array" ref="AP91">IF($AE$1,AO91*(1+INDEX(AP$1:AP$2,MATCH($O91,$AI$1:$AI$2,0)))^(AP$16-AO$16),INDEX('AEA2012 update'!$AC$6:$AG$104,MATCH($T91&amp;$U91,'AEA2012 update'!$A$6:$A$104&amp;'AEA2012 update'!$B$6:$B$104,0),MATCH(AP$16,'AEA2012 update'!$AC$4:$AG$4,0)))</f>
        <v>#N/A</v>
      </c>
      <c r="AQ91" s="67"/>
      <c r="AR91" s="274" t="e">
        <f t="shared" si="24"/>
        <v>#N/A</v>
      </c>
      <c r="AS91" s="274" t="e">
        <f t="shared" si="25"/>
        <v>#N/A</v>
      </c>
      <c r="AY91" s="61" t="str">
        <f t="shared" si="22"/>
        <v>-</v>
      </c>
      <c r="AZ91" s="80" t="e" cm="1">
        <f t="array" aca="1" ref="AZ91" ca="1">AL91/INDIRECT("cv."&amp;LEFT($U91,6)&amp;".hhv.MJL") * 100</f>
        <v>#N/A</v>
      </c>
      <c r="BA91" s="80" t="e" cm="1">
        <f t="array" aca="1" ref="BA91" ca="1">AM91/INDIRECT("cv."&amp;LEFT($U91,6)&amp;".hhv.MJL") * 100</f>
        <v>#N/A</v>
      </c>
      <c r="BB91" s="80" t="e" cm="1">
        <f t="array" aca="1" ref="BB91" ca="1">AN91/INDIRECT("cv."&amp;LEFT($U91,6)&amp;".hhv.MJL") * 100</f>
        <v>#N/A</v>
      </c>
      <c r="BC91" s="80" t="e" cm="1">
        <f t="array" aca="1" ref="BC91" ca="1">AO91/INDIRECT("cv."&amp;LEFT($U91,6)&amp;".hhv.MJL") * 100</f>
        <v>#N/A</v>
      </c>
      <c r="BD91" s="80" t="e" cm="1">
        <f t="array" aca="1" ref="BD91" ca="1">AP91/INDIRECT("cv."&amp;LEFT($U91,6)&amp;".hhv.MJL") * 100</f>
        <v>#N/A</v>
      </c>
    </row>
    <row r="92" spans="1:56" x14ac:dyDescent="0.25">
      <c r="N92" s="61" t="s">
        <v>511</v>
      </c>
      <c r="O92" s="61" t="s">
        <v>653</v>
      </c>
      <c r="P92" s="61" t="s">
        <v>734</v>
      </c>
      <c r="Q92" s="61" t="str">
        <f t="shared" si="23"/>
        <v>CV5</v>
      </c>
      <c r="R92" s="61" t="s">
        <v>687</v>
      </c>
      <c r="S92" s="65"/>
      <c r="T92" s="273" t="s">
        <v>735</v>
      </c>
      <c r="U92" s="957" t="s">
        <v>687</v>
      </c>
      <c r="V92" s="965"/>
      <c r="W92" s="958">
        <f t="shared" si="21"/>
        <v>0</v>
      </c>
      <c r="X92" s="959">
        <f t="shared" si="21"/>
        <v>0</v>
      </c>
      <c r="Y92" s="959">
        <f t="shared" si="21"/>
        <v>0</v>
      </c>
      <c r="Z92" s="959">
        <f t="shared" si="21"/>
        <v>0</v>
      </c>
      <c r="AA92" s="959">
        <f t="shared" si="21"/>
        <v>0</v>
      </c>
      <c r="AB92" s="959">
        <f t="shared" si="21"/>
        <v>0</v>
      </c>
      <c r="AC92" s="960">
        <f t="shared" si="21"/>
        <v>0</v>
      </c>
      <c r="AD92" s="103" cm="1">
        <f t="array" ref="AD92">IF(W92,INDEX('AEA2012 update'!$K$6:$R$104,MATCH($T92&amp;$R92,'AEA2012 update'!$A$6:$A$104&amp;'AEA2012 update'!$B$6:$B$104,0),MATCH(AD$16,'AEA2012 update'!$S$4:$Z$4,0)),INDEX('AEA2012 update'!$K$6:$R$104,MATCH($T92&amp;$U92,'AEA2012 update'!$A$6:$A$104&amp;'AEA2012 update'!$B$6:$B$104,0),MATCH(AD$16,'AEA2012 update'!$S$4:$Z$4,0)))</f>
        <v>685854.55456102896</v>
      </c>
      <c r="AE92" s="103" cm="1">
        <f t="array" ref="AE92">IF(X92,INDEX('AEA2012 update'!$K$6:$R$104,MATCH($T92&amp;$R92,'AEA2012 update'!$A$6:$A$104&amp;'AEA2012 update'!$B$6:$B$104,0),MATCH(AE$16,'AEA2012 update'!$S$4:$Z$4,0)),INDEX('AEA2012 update'!$K$6:$R$104,MATCH($T92&amp;$U92,'AEA2012 update'!$A$6:$A$104&amp;'AEA2012 update'!$B$6:$B$104,0),MATCH(AE$16,'AEA2012 update'!$S$4:$Z$4,0)))</f>
        <v>827727.74685699318</v>
      </c>
      <c r="AF92" s="103" cm="1">
        <f t="array" ref="AF92">IF(Y92,INDEX('AEA2012 update'!$K$6:$R$104,MATCH($T92&amp;$R92,'AEA2012 update'!$A$6:$A$104&amp;'AEA2012 update'!$B$6:$B$104,0),MATCH(AF$16,'AEA2012 update'!$S$4:$Z$4,0)),INDEX('AEA2012 update'!$K$6:$R$104,MATCH($T92&amp;$U92,'AEA2012 update'!$A$6:$A$104&amp;'AEA2012 update'!$B$6:$B$104,0),MATCH(AF$16,'AEA2012 update'!$S$4:$Z$4,0)))</f>
        <v>854497.09320833592</v>
      </c>
      <c r="AG92" s="103" cm="1">
        <f t="array" ref="AG92">IF(Z92,INDEX('AEA2012 update'!$K$6:$R$104,MATCH($T92&amp;$R92,'AEA2012 update'!$A$6:$A$104&amp;'AEA2012 update'!$B$6:$B$104,0),MATCH(AG$16,'AEA2012 update'!$S$4:$Z$4,0)),INDEX('AEA2012 update'!$K$6:$R$104,MATCH($T92&amp;$U92,'AEA2012 update'!$A$6:$A$104&amp;'AEA2012 update'!$B$6:$B$104,0),MATCH(AG$16,'AEA2012 update'!$S$4:$Z$4,0)))</f>
        <v>881266.43955967901</v>
      </c>
      <c r="AH92" s="103" cm="1">
        <f t="array" ref="AH92">IF(AA92,INDEX('AEA2012 update'!$K$6:$R$104,MATCH($T92&amp;$R92,'AEA2012 update'!$A$6:$A$104&amp;'AEA2012 update'!$B$6:$B$104,0),MATCH(AH$16,'AEA2012 update'!$S$4:$Z$4,0)),INDEX('AEA2012 update'!$K$6:$R$104,MATCH($T92&amp;$U92,'AEA2012 update'!$A$6:$A$104&amp;'AEA2012 update'!$B$6:$B$104,0),MATCH(AH$16,'AEA2012 update'!$S$4:$Z$4,0)))</f>
        <v>898447.87511458865</v>
      </c>
      <c r="AI92" s="103" cm="1">
        <f t="array" ref="AI92">IF(AB92,INDEX('AEA2012 update'!$K$6:$R$104,MATCH($T92&amp;$R92,'AEA2012 update'!$A$6:$A$104&amp;'AEA2012 update'!$B$6:$B$104,0),MATCH(AI$16,'AEA2012 update'!$S$4:$Z$4,0)),INDEX('AEA2012 update'!$K$6:$R$104,MATCH($T92&amp;$U92,'AEA2012 update'!$A$6:$A$104&amp;'AEA2012 update'!$B$6:$B$104,0),MATCH(AI$16,'AEA2012 update'!$S$4:$Z$4,0)))</f>
        <v>915629.31066949805</v>
      </c>
      <c r="AJ92" s="103" cm="1">
        <f t="array" ref="AJ92">IF(AC92,INDEX('AEA2012 update'!$K$6:$R$104,MATCH($T92&amp;$R92,'AEA2012 update'!$A$6:$A$104&amp;'AEA2012 update'!$B$6:$B$104,0),MATCH(AJ$16,'AEA2012 update'!$S$4:$Z$4,0)),INDEX('AEA2012 update'!$K$6:$R$104,MATCH($T92&amp;$U92,'AEA2012 update'!$A$6:$A$104&amp;'AEA2012 update'!$B$6:$B$104,0),MATCH(AJ$16,'AEA2012 update'!$S$4:$Z$4,0)))</f>
        <v>945215.87798179325</v>
      </c>
      <c r="AK92" s="103" t="str">
        <f t="shared" ref="AK92:AK110" si="26">Q92&amp;N92</f>
        <v>CV5ODS</v>
      </c>
      <c r="AL92" s="67">
        <f>1/INDEX(Analytica!$AA$17:$AE$48,MATCH($AK92,Analytica!$A$17:$A$48,0),MATCH(AL$16,Analytica!$AA$16:$AE$16,0))</f>
        <v>10.588781032925946</v>
      </c>
      <c r="AM92" s="67">
        <f t="array" ref="AM92">IF($AE$1,AL92*(1+INDEX(AM$1:AM$2,MATCH($O92,$AI$1:$AI$2,0)))^(AM$16-AL$16),INDEX('AEA2012 update'!$AC$6:$AG$104,MATCH($T92&amp;$U92,'AEA2012 update'!$A$6:$A$104&amp;'AEA2012 update'!$B$6:$B$104,0),MATCH(AM$16,'AEA2012 update'!$AC$4:$AG$4,0)))</f>
        <v>10.557046445581486</v>
      </c>
      <c r="AN92" s="67">
        <f t="array" ref="AN92">IF($AE$1,AM92*(1+INDEX(AN$1:AN$2,MATCH($O92,$AI$1:$AI$2,0)))^(AN$16-AM$16),INDEX('AEA2012 update'!$AC$6:$AG$104,MATCH($T92&amp;$U92,'AEA2012 update'!$A$6:$A$104&amp;'AEA2012 update'!$B$6:$B$104,0),MATCH(AN$16,'AEA2012 update'!$AC$4:$AG$4,0)))</f>
        <v>9.9905709144632269</v>
      </c>
      <c r="AO92" s="67">
        <f t="array" ref="AO92">IF($AE$1,AN92*(1+INDEX(AO$1:AO$2,MATCH($O92,$AI$1:$AI$2,0)))^(AO$16-AN$16),INDEX('AEA2012 update'!$AC$6:$AG$104,MATCH($T92&amp;$U92,'AEA2012 update'!$A$6:$A$104&amp;'AEA2012 update'!$B$6:$B$104,0),MATCH(AO$16,'AEA2012 update'!$AC$4:$AG$4,0)))</f>
        <v>9.035293254144861</v>
      </c>
      <c r="AP92" s="67">
        <f t="array" ref="AP92">IF($AE$1,AO92*(1+INDEX(AP$1:AP$2,MATCH($O92,$AI$1:$AI$2,0)))^(AP$16-AO$16),INDEX('AEA2012 update'!$AC$6:$AG$104,MATCH($T92&amp;$U92,'AEA2012 update'!$A$6:$A$104&amp;'AEA2012 update'!$B$6:$B$104,0),MATCH(AP$16,'AEA2012 update'!$AC$4:$AG$4,0)))</f>
        <v>8.1713572614965813</v>
      </c>
      <c r="AQ92" s="67"/>
      <c r="AR92" s="274">
        <f t="shared" si="24"/>
        <v>-9.9900033333331288E-4</v>
      </c>
      <c r="AS92" s="274">
        <f t="shared" si="25"/>
        <v>-7.5326913841620409E-3</v>
      </c>
      <c r="AY92" s="61" t="str">
        <f t="shared" si="22"/>
        <v>HCV5-ODS</v>
      </c>
      <c r="AZ92" s="80" t="e" cm="1">
        <f t="array" aca="1" ref="AZ92" ca="1">AL92/INDIRECT("cv."&amp;LEFT($U92,6)&amp;".hhv.MJL") * 100</f>
        <v>#REF!</v>
      </c>
      <c r="BA92" s="80" t="e" cm="1">
        <f t="array" aca="1" ref="BA92" ca="1">AM92/INDIRECT("cv."&amp;LEFT($U92,6)&amp;".hhv.MJL") * 100</f>
        <v>#REF!</v>
      </c>
      <c r="BB92" s="80" t="e" cm="1">
        <f t="array" aca="1" ref="BB92" ca="1">AN92/INDIRECT("cv."&amp;LEFT($U92,6)&amp;".hhv.MJL") * 100</f>
        <v>#REF!</v>
      </c>
      <c r="BC92" s="80" t="e" cm="1">
        <f t="array" aca="1" ref="BC92" ca="1">AO92/INDIRECT("cv."&amp;LEFT($U92,6)&amp;".hhv.MJL") * 100</f>
        <v>#REF!</v>
      </c>
      <c r="BD92" s="80" t="e" cm="1">
        <f t="array" aca="1" ref="BD92" ca="1">AP92/INDIRECT("cv."&amp;LEFT($U92,6)&amp;".hhv.MJL") * 100</f>
        <v>#REF!</v>
      </c>
    </row>
    <row r="93" spans="1:56" x14ac:dyDescent="0.25">
      <c r="N93" s="61" t="s">
        <v>504</v>
      </c>
      <c r="O93" s="61" t="s">
        <v>653</v>
      </c>
      <c r="P93" s="61" t="s">
        <v>734</v>
      </c>
      <c r="Q93" s="61" t="str">
        <f t="shared" si="23"/>
        <v>CV5</v>
      </c>
      <c r="R93" s="61" t="s">
        <v>687</v>
      </c>
      <c r="S93" s="65"/>
      <c r="T93" s="273" t="s">
        <v>735</v>
      </c>
      <c r="U93" s="957" t="s">
        <v>699</v>
      </c>
      <c r="V93" s="965">
        <v>2050</v>
      </c>
      <c r="W93" s="958">
        <f t="shared" si="21"/>
        <v>0</v>
      </c>
      <c r="X93" s="959">
        <f t="shared" si="21"/>
        <v>0</v>
      </c>
      <c r="Y93" s="959">
        <f t="shared" si="21"/>
        <v>0</v>
      </c>
      <c r="Z93" s="959">
        <f t="shared" si="21"/>
        <v>0</v>
      </c>
      <c r="AA93" s="959">
        <f t="shared" si="21"/>
        <v>0</v>
      </c>
      <c r="AB93" s="959">
        <f t="shared" si="21"/>
        <v>0</v>
      </c>
      <c r="AC93" s="960">
        <f t="shared" si="21"/>
        <v>1</v>
      </c>
      <c r="AD93" s="103" cm="1">
        <f t="array" ref="AD93">IF(W93,INDEX('AEA2012 update'!$K$6:$R$104,MATCH($T93&amp;$R93,'AEA2012 update'!$A$6:$A$104&amp;'AEA2012 update'!$B$6:$B$104,0),MATCH(AD$16,'AEA2012 update'!$S$4:$Z$4,0)),INDEX('AEA2012 update'!$K$6:$R$104,MATCH($T93&amp;$U93,'AEA2012 update'!$A$6:$A$104&amp;'AEA2012 update'!$B$6:$B$104,0),MATCH(AD$16,'AEA2012 update'!$S$4:$Z$4,0)))</f>
        <v>4181375.5668412126</v>
      </c>
      <c r="AE93" s="103" cm="1">
        <f t="array" ref="AE93">IF(X93,INDEX('AEA2012 update'!$K$6:$R$104,MATCH($T93&amp;$R93,'AEA2012 update'!$A$6:$A$104&amp;'AEA2012 update'!$B$6:$B$104,0),MATCH(AE$16,'AEA2012 update'!$S$4:$Z$4,0)),INDEX('AEA2012 update'!$K$6:$R$104,MATCH($T93&amp;$U93,'AEA2012 update'!$A$6:$A$104&amp;'AEA2012 update'!$B$6:$B$104,0),MATCH(AE$16,'AEA2012 update'!$S$4:$Z$4,0)))</f>
        <v>1813107.7355248218</v>
      </c>
      <c r="AF93" s="103" cm="1">
        <f t="array" ref="AF93">IF(Y93,INDEX('AEA2012 update'!$K$6:$R$104,MATCH($T93&amp;$R93,'AEA2012 update'!$A$6:$A$104&amp;'AEA2012 update'!$B$6:$B$104,0),MATCH(AF$16,'AEA2012 update'!$S$4:$Z$4,0)),INDEX('AEA2012 update'!$K$6:$R$104,MATCH($T93&amp;$U93,'AEA2012 update'!$A$6:$A$104&amp;'AEA2012 update'!$B$6:$B$104,0),MATCH(AF$16,'AEA2012 update'!$S$4:$Z$4,0)))</f>
        <v>1437160.6416999607</v>
      </c>
      <c r="AG93" s="103" cm="1">
        <f t="array" ref="AG93">IF(Z93,INDEX('AEA2012 update'!$K$6:$R$104,MATCH($T93&amp;$R93,'AEA2012 update'!$A$6:$A$104&amp;'AEA2012 update'!$B$6:$B$104,0),MATCH(AG$16,'AEA2012 update'!$S$4:$Z$4,0)),INDEX('AEA2012 update'!$K$6:$R$104,MATCH($T93&amp;$U93,'AEA2012 update'!$A$6:$A$104&amp;'AEA2012 update'!$B$6:$B$104,0),MATCH(AG$16,'AEA2012 update'!$S$4:$Z$4,0)))</f>
        <v>1061213.5478750996</v>
      </c>
      <c r="AH93" s="103" cm="1">
        <f t="array" ref="AH93">IF(AA93,INDEX('AEA2012 update'!$K$6:$R$104,MATCH($T93&amp;$R93,'AEA2012 update'!$A$6:$A$104&amp;'AEA2012 update'!$B$6:$B$104,0),MATCH(AH$16,'AEA2012 update'!$S$4:$Z$4,0)),INDEX('AEA2012 update'!$K$6:$R$104,MATCH($T93&amp;$U93,'AEA2012 update'!$A$6:$A$104&amp;'AEA2012 update'!$B$6:$B$104,0),MATCH(AH$16,'AEA2012 update'!$S$4:$Z$4,0)))</f>
        <v>1011982.5087271776</v>
      </c>
      <c r="AI93" s="103" cm="1">
        <f t="array" ref="AI93">IF(AB93,INDEX('AEA2012 update'!$K$6:$R$104,MATCH($T93&amp;$R93,'AEA2012 update'!$A$6:$A$104&amp;'AEA2012 update'!$B$6:$B$104,0),MATCH(AI$16,'AEA2012 update'!$S$4:$Z$4,0)),INDEX('AEA2012 update'!$K$6:$R$104,MATCH($T93&amp;$U93,'AEA2012 update'!$A$6:$A$104&amp;'AEA2012 update'!$B$6:$B$104,0),MATCH(AI$16,'AEA2012 update'!$S$4:$Z$4,0)))</f>
        <v>962751.46957925544</v>
      </c>
      <c r="AJ93" s="103" cm="1">
        <f t="array" ref="AJ93">IF(AC93,INDEX('AEA2012 update'!$K$6:$R$104,MATCH($T93&amp;$R93,'AEA2012 update'!$A$6:$A$104&amp;'AEA2012 update'!$B$6:$B$104,0),MATCH(AJ$16,'AEA2012 update'!$S$4:$Z$4,0)),INDEX('AEA2012 update'!$K$6:$R$104,MATCH($T93&amp;$U93,'AEA2012 update'!$A$6:$A$104&amp;'AEA2012 update'!$B$6:$B$104,0),MATCH(AJ$16,'AEA2012 update'!$S$4:$Z$4,0)))</f>
        <v>945215.87798179325</v>
      </c>
      <c r="AK93" s="103" t="str">
        <f t="shared" si="26"/>
        <v>CV5HGN</v>
      </c>
      <c r="AL93" s="67">
        <f>INDEX('Vehicle data '!$AD$20:$AD$110,MATCH($AK93,'Vehicle data '!$AC$20:$AC$110,0))/INDEX('Vehicle data '!$AD$20:$AD$110,MATCH($AK$92,'Vehicle data '!$AC$20:$AC$110,0))*AL$92</f>
        <v>5.0190262619168848</v>
      </c>
      <c r="AM93" s="67">
        <f t="array" ref="AM93">IF($AE$1,AL93*(1+INDEX(AM$1:AM$2,MATCH($O93,$AI$1:$AI$2,0)))^(AM$16-AL$16),INDEX('AEA2012 update'!$AC$6:$AG$104,MATCH($T93&amp;$U93,'AEA2012 update'!$A$6:$A$104&amp;'AEA2012 update'!$B$6:$B$104,0),MATCH(AM$16,'AEA2012 update'!$AC$4:$AG$4,0)))</f>
        <v>5.0039842351908934</v>
      </c>
      <c r="AN93" s="67">
        <f t="array" ref="AN93">IF($AE$1,AM93*(1+INDEX(AN$1:AN$2,MATCH($O93,$AI$1:$AI$2,0)))^(AN$16-AM$16),INDEX('AEA2012 update'!$AC$6:$AG$104,MATCH($T93&amp;$U93,'AEA2012 update'!$A$6:$A$104&amp;'AEA2012 update'!$B$6:$B$104,0),MATCH(AN$16,'AEA2012 update'!$AC$4:$AG$4,0)))</f>
        <v>4.7354778265141038</v>
      </c>
      <c r="AO93" s="67">
        <f t="array" ref="AO93">IF($AE$1,AN93*(1+INDEX(AO$1:AO$2,MATCH($O93,$AI$1:$AI$2,0)))^(AO$16-AN$16),INDEX('AEA2012 update'!$AC$6:$AG$104,MATCH($T93&amp;$U93,'AEA2012 update'!$A$6:$A$104&amp;'AEA2012 update'!$B$6:$B$104,0),MATCH(AO$16,'AEA2012 update'!$AC$4:$AG$4,0)))</f>
        <v>4.2826812629010078</v>
      </c>
      <c r="AP93" s="67">
        <f t="array" ref="AP93">IF($AE$1,AO93*(1+INDEX(AP$1:AP$2,MATCH($O93,$AI$1:$AI$2,0)))^(AP$16-AO$16),INDEX('AEA2012 update'!$AC$6:$AG$104,MATCH($T93&amp;$U93,'AEA2012 update'!$A$6:$A$104&amp;'AEA2012 update'!$B$6:$B$104,0),MATCH(AP$16,'AEA2012 update'!$AC$4:$AG$4,0)))</f>
        <v>3.8731801671437398</v>
      </c>
      <c r="AQ93" s="67"/>
      <c r="AR93" s="274">
        <f t="shared" si="24"/>
        <v>-9.9900033333335018E-4</v>
      </c>
      <c r="AS93" s="274">
        <f t="shared" si="25"/>
        <v>-7.5326913841620401E-3</v>
      </c>
      <c r="AY93" s="61" t="str">
        <f t="shared" si="22"/>
        <v>HCV5-HGN</v>
      </c>
      <c r="AZ93" s="80" t="e" cm="1">
        <f t="array" aca="1" ref="AZ93" ca="1">AL93/INDIRECT("cv."&amp;LEFT($U93,6)&amp;".hhv.MJL") * 100</f>
        <v>#REF!</v>
      </c>
      <c r="BA93" s="80" t="e" cm="1">
        <f t="array" aca="1" ref="BA93" ca="1">AM93/INDIRECT("cv."&amp;LEFT($U93,6)&amp;".hhv.MJL") * 100</f>
        <v>#REF!</v>
      </c>
      <c r="BB93" s="80" t="e" cm="1">
        <f t="array" aca="1" ref="BB93" ca="1">AN93/INDIRECT("cv."&amp;LEFT($U93,6)&amp;".hhv.MJL") * 100</f>
        <v>#REF!</v>
      </c>
      <c r="BC93" s="80" t="e" cm="1">
        <f t="array" aca="1" ref="BC93" ca="1">AO93/INDIRECT("cv."&amp;LEFT($U93,6)&amp;".hhv.MJL") * 100</f>
        <v>#REF!</v>
      </c>
      <c r="BD93" s="80" t="e" cm="1">
        <f t="array" aca="1" ref="BD93" ca="1">AP93/INDIRECT("cv."&amp;LEFT($U93,6)&amp;".hhv.MJL") * 100</f>
        <v>#REF!</v>
      </c>
    </row>
    <row r="94" spans="1:56" x14ac:dyDescent="0.25">
      <c r="N94" s="61" t="s">
        <v>509</v>
      </c>
      <c r="O94" s="61" t="s">
        <v>653</v>
      </c>
      <c r="P94" s="61" t="s">
        <v>734</v>
      </c>
      <c r="Q94" s="61" t="str">
        <f t="shared" si="23"/>
        <v>CV5</v>
      </c>
      <c r="R94" s="61" t="s">
        <v>687</v>
      </c>
      <c r="S94" s="65"/>
      <c r="T94" s="273" t="s">
        <v>735</v>
      </c>
      <c r="U94" s="957" t="s">
        <v>700</v>
      </c>
      <c r="V94" s="965"/>
      <c r="W94" s="958">
        <f t="shared" si="21"/>
        <v>0</v>
      </c>
      <c r="X94" s="959">
        <f t="shared" si="21"/>
        <v>0</v>
      </c>
      <c r="Y94" s="959">
        <f t="shared" si="21"/>
        <v>0</v>
      </c>
      <c r="Z94" s="959">
        <f t="shared" si="21"/>
        <v>0</v>
      </c>
      <c r="AA94" s="959">
        <f t="shared" si="21"/>
        <v>0</v>
      </c>
      <c r="AB94" s="959">
        <f t="shared" si="21"/>
        <v>0</v>
      </c>
      <c r="AC94" s="960">
        <f t="shared" si="21"/>
        <v>0</v>
      </c>
      <c r="AD94" s="103" cm="1">
        <f t="array" ref="AD94">IF(W94,INDEX('AEA2012 update'!$K$6:$R$104,MATCH($T94&amp;$R94,'AEA2012 update'!$A$6:$A$104&amp;'AEA2012 update'!$B$6:$B$104,0),MATCH(AD$16,'AEA2012 update'!$S$4:$Z$4,0)),INDEX('AEA2012 update'!$K$6:$R$104,MATCH($T94&amp;$U94,'AEA2012 update'!$A$6:$A$104&amp;'AEA2012 update'!$B$6:$B$104,0),MATCH(AD$16,'AEA2012 update'!$S$4:$Z$4,0)))</f>
        <v>935580.03017164103</v>
      </c>
      <c r="AE94" s="103" cm="1">
        <f t="array" ref="AE94">IF(X94,INDEX('AEA2012 update'!$K$6:$R$104,MATCH($T94&amp;$R94,'AEA2012 update'!$A$6:$A$104&amp;'AEA2012 update'!$B$6:$B$104,0),MATCH(AE$16,'AEA2012 update'!$S$4:$Z$4,0)),INDEX('AEA2012 update'!$K$6:$R$104,MATCH($T94&amp;$U94,'AEA2012 update'!$A$6:$A$104&amp;'AEA2012 update'!$B$6:$B$104,0),MATCH(AE$16,'AEA2012 update'!$S$4:$Z$4,0)))</f>
        <v>955910.20610261254</v>
      </c>
      <c r="AF94" s="103" cm="1">
        <f t="array" ref="AF94">IF(Y94,INDEX('AEA2012 update'!$K$6:$R$104,MATCH($T94&amp;$R94,'AEA2012 update'!$A$6:$A$104&amp;'AEA2012 update'!$B$6:$B$104,0),MATCH(AF$16,'AEA2012 update'!$S$4:$Z$4,0)),INDEX('AEA2012 update'!$K$6:$R$104,MATCH($T94&amp;$U94,'AEA2012 update'!$A$6:$A$104&amp;'AEA2012 update'!$B$6:$B$104,0),MATCH(AF$16,'AEA2012 update'!$S$4:$Z$4,0)))</f>
        <v>961413.7558443757</v>
      </c>
      <c r="AG94" s="103" cm="1">
        <f t="array" ref="AG94">IF(Z94,INDEX('AEA2012 update'!$K$6:$R$104,MATCH($T94&amp;$R94,'AEA2012 update'!$A$6:$A$104&amp;'AEA2012 update'!$B$6:$B$104,0),MATCH(AG$16,'AEA2012 update'!$S$4:$Z$4,0)),INDEX('AEA2012 update'!$K$6:$R$104,MATCH($T94&amp;$U94,'AEA2012 update'!$A$6:$A$104&amp;'AEA2012 update'!$B$6:$B$104,0),MATCH(AG$16,'AEA2012 update'!$S$4:$Z$4,0)))</f>
        <v>966917.30558613921</v>
      </c>
      <c r="AH94" s="103" cm="1">
        <f t="array" ref="AH94">IF(AA94,INDEX('AEA2012 update'!$K$6:$R$104,MATCH($T94&amp;$R94,'AEA2012 update'!$A$6:$A$104&amp;'AEA2012 update'!$B$6:$B$104,0),MATCH(AH$16,'AEA2012 update'!$S$4:$Z$4,0)),INDEX('AEA2012 update'!$K$6:$R$104,MATCH($T94&amp;$U94,'AEA2012 update'!$A$6:$A$104&amp;'AEA2012 update'!$B$6:$B$104,0),MATCH(AH$16,'AEA2012 update'!$S$4:$Z$4,0)))</f>
        <v>974635.68364717788</v>
      </c>
      <c r="AI94" s="103" cm="1">
        <f t="array" ref="AI94">IF(AB94,INDEX('AEA2012 update'!$K$6:$R$104,MATCH($T94&amp;$R94,'AEA2012 update'!$A$6:$A$104&amp;'AEA2012 update'!$B$6:$B$104,0),MATCH(AI$16,'AEA2012 update'!$S$4:$Z$4,0)),INDEX('AEA2012 update'!$K$6:$R$104,MATCH($T94&amp;$U94,'AEA2012 update'!$A$6:$A$104&amp;'AEA2012 update'!$B$6:$B$104,0),MATCH(AI$16,'AEA2012 update'!$S$4:$Z$4,0)))</f>
        <v>982354.06170821632</v>
      </c>
      <c r="AJ94" s="103" cm="1">
        <f t="array" ref="AJ94">IF(AC94,INDEX('AEA2012 update'!$K$6:$R$104,MATCH($T94&amp;$R94,'AEA2012 update'!$A$6:$A$104&amp;'AEA2012 update'!$B$6:$B$104,0),MATCH(AJ$16,'AEA2012 update'!$S$4:$Z$4,0)),INDEX('AEA2012 update'!$K$6:$R$104,MATCH($T94&amp;$U94,'AEA2012 update'!$A$6:$A$104&amp;'AEA2012 update'!$B$6:$B$104,0),MATCH(AJ$16,'AEA2012 update'!$S$4:$Z$4,0)))</f>
        <v>999536.2229329109</v>
      </c>
      <c r="AK94" s="103" t="str">
        <f t="shared" si="26"/>
        <v>CV5GAS</v>
      </c>
      <c r="AL94" s="67">
        <f>INDEX('Vehicle data '!$AD$20:$AD$110,MATCH($AK94,'Vehicle data '!$AC$20:$AC$110,0))/INDEX('Vehicle data '!$AD$20:$AD$110,MATCH($AK$92,'Vehicle data '!$AC$20:$AC$110,0))*AL$92</f>
        <v>12.177098187864836</v>
      </c>
      <c r="AM94" s="67">
        <f t="array" ref="AM94">IF($AE$1,AL94*(1+INDEX(AM$1:AM$2,MATCH($O94,$AI$1:$AI$2,0)))^(AM$16-AL$16),INDEX('AEA2012 update'!$AC$6:$AG$104,MATCH($T94&amp;$U94,'AEA2012 update'!$A$6:$A$104&amp;'AEA2012 update'!$B$6:$B$104,0),MATCH(AM$16,'AEA2012 update'!$AC$4:$AG$4,0)))</f>
        <v>12.140603412418706</v>
      </c>
      <c r="AN94" s="67">
        <f t="array" ref="AN94">IF($AE$1,AM94*(1+INDEX(AN$1:AN$2,MATCH($O94,$AI$1:$AI$2,0)))^(AN$16-AM$16),INDEX('AEA2012 update'!$AC$6:$AG$104,MATCH($T94&amp;$U94,'AEA2012 update'!$A$6:$A$104&amp;'AEA2012 update'!$B$6:$B$104,0),MATCH(AN$16,'AEA2012 update'!$AC$4:$AG$4,0)))</f>
        <v>11.489156551632709</v>
      </c>
      <c r="AO94" s="67">
        <f t="array" ref="AO94">IF($AE$1,AN94*(1+INDEX(AO$1:AO$2,MATCH($O94,$AI$1:$AI$2,0)))^(AO$16-AN$16),INDEX('AEA2012 update'!$AC$6:$AG$104,MATCH($T94&amp;$U94,'AEA2012 update'!$A$6:$A$104&amp;'AEA2012 update'!$B$6:$B$104,0),MATCH(AO$16,'AEA2012 update'!$AC$4:$AG$4,0)))</f>
        <v>10.390587242266587</v>
      </c>
      <c r="AP94" s="67">
        <f t="array" ref="AP94">IF($AE$1,AO94*(1+INDEX(AP$1:AP$2,MATCH($O94,$AI$1:$AI$2,0)))^(AP$16-AO$16),INDEX('AEA2012 update'!$AC$6:$AG$104,MATCH($T94&amp;$U94,'AEA2012 update'!$A$6:$A$104&amp;'AEA2012 update'!$B$6:$B$104,0),MATCH(AP$16,'AEA2012 update'!$AC$4:$AG$4,0)))</f>
        <v>9.3970608507210649</v>
      </c>
      <c r="AQ94" s="67"/>
      <c r="AR94" s="274">
        <f t="shared" si="24"/>
        <v>-9.9900033333335191E-4</v>
      </c>
      <c r="AS94" s="274">
        <f t="shared" si="25"/>
        <v>-7.5326913841620444E-3</v>
      </c>
      <c r="AY94" s="61" t="str">
        <f t="shared" si="22"/>
        <v>HCV5-GAS</v>
      </c>
      <c r="AZ94" s="80" t="e" cm="1">
        <f t="array" aca="1" ref="AZ94" ca="1">AL94/INDIRECT("cv."&amp;LEFT($U94,6)&amp;".hhv.MJL") * 100</f>
        <v>#REF!</v>
      </c>
      <c r="BA94" s="80" t="e" cm="1">
        <f t="array" aca="1" ref="BA94" ca="1">AM94/INDIRECT("cv."&amp;LEFT($U94,6)&amp;".hhv.MJL") * 100</f>
        <v>#REF!</v>
      </c>
      <c r="BB94" s="80" t="e" cm="1">
        <f t="array" aca="1" ref="BB94" ca="1">AN94/INDIRECT("cv."&amp;LEFT($U94,6)&amp;".hhv.MJL") * 100</f>
        <v>#REF!</v>
      </c>
      <c r="BC94" s="80" t="e" cm="1">
        <f t="array" aca="1" ref="BC94" ca="1">AO94/INDIRECT("cv."&amp;LEFT($U94,6)&amp;".hhv.MJL") * 100</f>
        <v>#REF!</v>
      </c>
      <c r="BD94" s="80" t="e" cm="1">
        <f t="array" aca="1" ref="BD94" ca="1">AP94/INDIRECT("cv."&amp;LEFT($U94,6)&amp;".hhv.MJL") * 100</f>
        <v>#REF!</v>
      </c>
    </row>
    <row r="95" spans="1:56" x14ac:dyDescent="0.25">
      <c r="B95"/>
      <c r="C95"/>
      <c r="D95"/>
      <c r="E95"/>
      <c r="F95"/>
      <c r="G95"/>
      <c r="H95"/>
      <c r="I95"/>
      <c r="J95"/>
      <c r="O95" s="61" t="s">
        <v>653</v>
      </c>
      <c r="Q95" s="61" t="str">
        <f t="shared" si="23"/>
        <v/>
      </c>
      <c r="S95" s="65"/>
      <c r="T95" s="273"/>
      <c r="V95" s="965"/>
      <c r="W95" s="961">
        <f t="shared" si="21"/>
        <v>0</v>
      </c>
      <c r="X95" s="962">
        <f t="shared" si="21"/>
        <v>0</v>
      </c>
      <c r="Y95" s="962">
        <f t="shared" si="21"/>
        <v>0</v>
      </c>
      <c r="Z95" s="962">
        <f t="shared" si="21"/>
        <v>0</v>
      </c>
      <c r="AA95" s="962">
        <f t="shared" si="21"/>
        <v>0</v>
      </c>
      <c r="AB95" s="962">
        <f t="shared" si="21"/>
        <v>0</v>
      </c>
      <c r="AC95" s="963">
        <f t="shared" si="21"/>
        <v>0</v>
      </c>
      <c r="AD95" s="103" t="e" cm="1">
        <f t="array" ref="AD95">IF(W95,INDEX('AEA2012 update'!$K$6:$R$104,MATCH($T95&amp;$R95,'AEA2012 update'!$A$6:$A$104&amp;'AEA2012 update'!$B$6:$B$104,0),MATCH(AD$16,'AEA2012 update'!$S$4:$Z$4,0)),INDEX('AEA2012 update'!$K$6:$R$104,MATCH($T95&amp;$U95,'AEA2012 update'!$A$6:$A$104&amp;'AEA2012 update'!$B$6:$B$104,0),MATCH(AD$16,'AEA2012 update'!$S$4:$Z$4,0)))</f>
        <v>#N/A</v>
      </c>
      <c r="AE95" s="103" t="e" cm="1">
        <f t="array" ref="AE95">IF(X95,INDEX('AEA2012 update'!$K$6:$R$104,MATCH($T95&amp;$R95,'AEA2012 update'!$A$6:$A$104&amp;'AEA2012 update'!$B$6:$B$104,0),MATCH(AE$16,'AEA2012 update'!$S$4:$Z$4,0)),INDEX('AEA2012 update'!$K$6:$R$104,MATCH($T95&amp;$U95,'AEA2012 update'!$A$6:$A$104&amp;'AEA2012 update'!$B$6:$B$104,0),MATCH(AE$16,'AEA2012 update'!$S$4:$Z$4,0)))</f>
        <v>#N/A</v>
      </c>
      <c r="AF95" s="103" t="e" cm="1">
        <f t="array" ref="AF95">IF(Y95,INDEX('AEA2012 update'!$K$6:$R$104,MATCH($T95&amp;$R95,'AEA2012 update'!$A$6:$A$104&amp;'AEA2012 update'!$B$6:$B$104,0),MATCH(AF$16,'AEA2012 update'!$S$4:$Z$4,0)),INDEX('AEA2012 update'!$K$6:$R$104,MATCH($T95&amp;$U95,'AEA2012 update'!$A$6:$A$104&amp;'AEA2012 update'!$B$6:$B$104,0),MATCH(AF$16,'AEA2012 update'!$S$4:$Z$4,0)))</f>
        <v>#N/A</v>
      </c>
      <c r="AG95" s="103" t="e" cm="1">
        <f t="array" ref="AG95">IF(Z95,INDEX('AEA2012 update'!$K$6:$R$104,MATCH($T95&amp;$R95,'AEA2012 update'!$A$6:$A$104&amp;'AEA2012 update'!$B$6:$B$104,0),MATCH(AG$16,'AEA2012 update'!$S$4:$Z$4,0)),INDEX('AEA2012 update'!$K$6:$R$104,MATCH($T95&amp;$U95,'AEA2012 update'!$A$6:$A$104&amp;'AEA2012 update'!$B$6:$B$104,0),MATCH(AG$16,'AEA2012 update'!$S$4:$Z$4,0)))</f>
        <v>#N/A</v>
      </c>
      <c r="AH95" s="103" t="e" cm="1">
        <f t="array" ref="AH95">IF(AA95,INDEX('AEA2012 update'!$K$6:$R$104,MATCH($T95&amp;$R95,'AEA2012 update'!$A$6:$A$104&amp;'AEA2012 update'!$B$6:$B$104,0),MATCH(AH$16,'AEA2012 update'!$S$4:$Z$4,0)),INDEX('AEA2012 update'!$K$6:$R$104,MATCH($T95&amp;$U95,'AEA2012 update'!$A$6:$A$104&amp;'AEA2012 update'!$B$6:$B$104,0),MATCH(AH$16,'AEA2012 update'!$S$4:$Z$4,0)))</f>
        <v>#N/A</v>
      </c>
      <c r="AI95" s="103" t="e" cm="1">
        <f t="array" ref="AI95">IF(AB95,INDEX('AEA2012 update'!$K$6:$R$104,MATCH($T95&amp;$R95,'AEA2012 update'!$A$6:$A$104&amp;'AEA2012 update'!$B$6:$B$104,0),MATCH(AI$16,'AEA2012 update'!$S$4:$Z$4,0)),INDEX('AEA2012 update'!$K$6:$R$104,MATCH($T95&amp;$U95,'AEA2012 update'!$A$6:$A$104&amp;'AEA2012 update'!$B$6:$B$104,0),MATCH(AI$16,'AEA2012 update'!$S$4:$Z$4,0)))</f>
        <v>#N/A</v>
      </c>
      <c r="AJ95" s="103" t="e" cm="1">
        <f t="array" ref="AJ95">IF(AC95,INDEX('AEA2012 update'!$K$6:$R$104,MATCH($T95&amp;$R95,'AEA2012 update'!$A$6:$A$104&amp;'AEA2012 update'!$B$6:$B$104,0),MATCH(AJ$16,'AEA2012 update'!$S$4:$Z$4,0)),INDEX('AEA2012 update'!$K$6:$R$104,MATCH($T95&amp;$U95,'AEA2012 update'!$A$6:$A$104&amp;'AEA2012 update'!$B$6:$B$104,0),MATCH(AJ$16,'AEA2012 update'!$S$4:$Z$4,0)))</f>
        <v>#N/A</v>
      </c>
      <c r="AK95" s="103" t="str">
        <f t="shared" si="26"/>
        <v/>
      </c>
      <c r="AL95" s="67" t="e">
        <f>1/INDEX(Analytica!$AA$17:$AE$48,MATCH($AK95,Analytica!$A$17:$A$48,0),MATCH(AL$16,Analytica!$AA$16:$AE$16,0))</f>
        <v>#N/A</v>
      </c>
      <c r="AM95" s="67" t="e">
        <f t="array" ref="AM95">IF($AE$1,AL95*(1+INDEX(AM$1:AM$2,MATCH($O95,$AI$1:$AI$2,0)))^(AM$16-AL$16),INDEX('AEA2012 update'!$AC$6:$AG$104,MATCH($T95&amp;$U95,'AEA2012 update'!$A$6:$A$104&amp;'AEA2012 update'!$B$6:$B$104,0),MATCH(AM$16,'AEA2012 update'!$AC$4:$AG$4,0)))</f>
        <v>#N/A</v>
      </c>
      <c r="AN95" s="67" t="e">
        <f t="array" ref="AN95">IF($AE$1,AM95*(1+INDEX(AN$1:AN$2,MATCH($O95,$AI$1:$AI$2,0)))^(AN$16-AM$16),INDEX('AEA2012 update'!$AC$6:$AG$104,MATCH($T95&amp;$U95,'AEA2012 update'!$A$6:$A$104&amp;'AEA2012 update'!$B$6:$B$104,0),MATCH(AN$16,'AEA2012 update'!$AC$4:$AG$4,0)))</f>
        <v>#N/A</v>
      </c>
      <c r="AO95" s="67" t="e">
        <f t="array" ref="AO95">IF($AE$1,AN95*(1+INDEX(AO$1:AO$2,MATCH($O95,$AI$1:$AI$2,0)))^(AO$16-AN$16),INDEX('AEA2012 update'!$AC$6:$AG$104,MATCH($T95&amp;$U95,'AEA2012 update'!$A$6:$A$104&amp;'AEA2012 update'!$B$6:$B$104,0),MATCH(AO$16,'AEA2012 update'!$AC$4:$AG$4,0)))</f>
        <v>#N/A</v>
      </c>
      <c r="AP95" s="67" t="e">
        <f t="array" ref="AP95">IF($AE$1,AO95*(1+INDEX(AP$1:AP$2,MATCH($O95,$AI$1:$AI$2,0)))^(AP$16-AO$16),INDEX('AEA2012 update'!$AC$6:$AG$104,MATCH($T95&amp;$U95,'AEA2012 update'!$A$6:$A$104&amp;'AEA2012 update'!$B$6:$B$104,0),MATCH(AP$16,'AEA2012 update'!$AC$4:$AG$4,0)))</f>
        <v>#N/A</v>
      </c>
      <c r="AQ95" s="67"/>
      <c r="AR95" s="274" t="e">
        <f t="shared" si="24"/>
        <v>#N/A</v>
      </c>
      <c r="AS95" s="274" t="e">
        <f t="shared" si="25"/>
        <v>#N/A</v>
      </c>
      <c r="AY95" s="61" t="str">
        <f t="shared" si="22"/>
        <v>-</v>
      </c>
      <c r="AZ95" s="80" t="e" cm="1">
        <f t="array" aca="1" ref="AZ95" ca="1">AL95/INDIRECT("cv."&amp;LEFT($U95,6)&amp;".hhv.MJL") * 100</f>
        <v>#N/A</v>
      </c>
      <c r="BA95" s="80" t="e" cm="1">
        <f t="array" aca="1" ref="BA95" ca="1">AM95/INDIRECT("cv."&amp;LEFT($U95,6)&amp;".hhv.MJL") * 100</f>
        <v>#N/A</v>
      </c>
      <c r="BB95" s="80" t="e" cm="1">
        <f t="array" aca="1" ref="BB95" ca="1">AN95/INDIRECT("cv."&amp;LEFT($U95,6)&amp;".hhv.MJL") * 100</f>
        <v>#N/A</v>
      </c>
      <c r="BC95" s="80" t="e" cm="1">
        <f t="array" aca="1" ref="BC95" ca="1">AO95/INDIRECT("cv."&amp;LEFT($U95,6)&amp;".hhv.MJL") * 100</f>
        <v>#N/A</v>
      </c>
      <c r="BD95" s="80" t="e" cm="1">
        <f t="array" aca="1" ref="BD95" ca="1">AP95/INDIRECT("cv."&amp;LEFT($U95,6)&amp;".hhv.MJL") * 100</f>
        <v>#N/A</v>
      </c>
    </row>
    <row r="96" spans="1:56" x14ac:dyDescent="0.25">
      <c r="A96" t="s">
        <v>736</v>
      </c>
      <c r="B96" t="s">
        <v>737</v>
      </c>
      <c r="C96" t="s">
        <v>738</v>
      </c>
      <c r="D96"/>
      <c r="E96"/>
      <c r="F96"/>
      <c r="G96" t="s">
        <v>737</v>
      </c>
      <c r="H96" t="s">
        <v>739</v>
      </c>
      <c r="I96"/>
      <c r="J96" t="s">
        <v>740</v>
      </c>
      <c r="N96" s="61" t="s">
        <v>511</v>
      </c>
      <c r="O96" s="61" t="s">
        <v>653</v>
      </c>
      <c r="P96" s="61" t="s">
        <v>741</v>
      </c>
      <c r="Q96" s="61" t="str">
        <f t="shared" si="23"/>
        <v>CV6</v>
      </c>
      <c r="R96" s="61" t="s">
        <v>687</v>
      </c>
      <c r="S96" s="65"/>
      <c r="T96" s="273" t="s">
        <v>735</v>
      </c>
      <c r="U96" s="957" t="s">
        <v>687</v>
      </c>
      <c r="V96" s="965"/>
      <c r="W96" s="958">
        <f t="shared" si="21"/>
        <v>0</v>
      </c>
      <c r="X96" s="959">
        <f t="shared" si="21"/>
        <v>0</v>
      </c>
      <c r="Y96" s="959">
        <f t="shared" si="21"/>
        <v>0</v>
      </c>
      <c r="Z96" s="959">
        <f t="shared" si="21"/>
        <v>0</v>
      </c>
      <c r="AA96" s="959">
        <f t="shared" si="21"/>
        <v>0</v>
      </c>
      <c r="AB96" s="959">
        <f t="shared" si="21"/>
        <v>0</v>
      </c>
      <c r="AC96" s="960">
        <f t="shared" si="21"/>
        <v>0</v>
      </c>
      <c r="AD96" s="103" cm="1">
        <f t="array" ref="AD96">IF(W96,INDEX('AEA2012 update'!$K$6:$R$104,MATCH($T96&amp;$R96,'AEA2012 update'!$A$6:$A$104&amp;'AEA2012 update'!$B$6:$B$104,0),MATCH(AD$16,'AEA2012 update'!$S$4:$Z$4,0)),INDEX('AEA2012 update'!$K$6:$R$104,MATCH($T96&amp;$U96,'AEA2012 update'!$A$6:$A$104&amp;'AEA2012 update'!$B$6:$B$104,0),MATCH(AD$16,'AEA2012 update'!$S$4:$Z$4,0)))</f>
        <v>685854.55456102896</v>
      </c>
      <c r="AE96" s="103" cm="1">
        <f t="array" ref="AE96">IF(X96,INDEX('AEA2012 update'!$K$6:$R$104,MATCH($T96&amp;$R96,'AEA2012 update'!$A$6:$A$104&amp;'AEA2012 update'!$B$6:$B$104,0),MATCH(AE$16,'AEA2012 update'!$S$4:$Z$4,0)),INDEX('AEA2012 update'!$K$6:$R$104,MATCH($T96&amp;$U96,'AEA2012 update'!$A$6:$A$104&amp;'AEA2012 update'!$B$6:$B$104,0),MATCH(AE$16,'AEA2012 update'!$S$4:$Z$4,0)))</f>
        <v>827727.74685699318</v>
      </c>
      <c r="AF96" s="103" cm="1">
        <f t="array" ref="AF96">IF(Y96,INDEX('AEA2012 update'!$K$6:$R$104,MATCH($T96&amp;$R96,'AEA2012 update'!$A$6:$A$104&amp;'AEA2012 update'!$B$6:$B$104,0),MATCH(AF$16,'AEA2012 update'!$S$4:$Z$4,0)),INDEX('AEA2012 update'!$K$6:$R$104,MATCH($T96&amp;$U96,'AEA2012 update'!$A$6:$A$104&amp;'AEA2012 update'!$B$6:$B$104,0),MATCH(AF$16,'AEA2012 update'!$S$4:$Z$4,0)))</f>
        <v>854497.09320833592</v>
      </c>
      <c r="AG96" s="103" cm="1">
        <f t="array" ref="AG96">IF(Z96,INDEX('AEA2012 update'!$K$6:$R$104,MATCH($T96&amp;$R96,'AEA2012 update'!$A$6:$A$104&amp;'AEA2012 update'!$B$6:$B$104,0),MATCH(AG$16,'AEA2012 update'!$S$4:$Z$4,0)),INDEX('AEA2012 update'!$K$6:$R$104,MATCH($T96&amp;$U96,'AEA2012 update'!$A$6:$A$104&amp;'AEA2012 update'!$B$6:$B$104,0),MATCH(AG$16,'AEA2012 update'!$S$4:$Z$4,0)))</f>
        <v>881266.43955967901</v>
      </c>
      <c r="AH96" s="103" cm="1">
        <f t="array" ref="AH96">IF(AA96,INDEX('AEA2012 update'!$K$6:$R$104,MATCH($T96&amp;$R96,'AEA2012 update'!$A$6:$A$104&amp;'AEA2012 update'!$B$6:$B$104,0),MATCH(AH$16,'AEA2012 update'!$S$4:$Z$4,0)),INDEX('AEA2012 update'!$K$6:$R$104,MATCH($T96&amp;$U96,'AEA2012 update'!$A$6:$A$104&amp;'AEA2012 update'!$B$6:$B$104,0),MATCH(AH$16,'AEA2012 update'!$S$4:$Z$4,0)))</f>
        <v>898447.87511458865</v>
      </c>
      <c r="AI96" s="103" cm="1">
        <f t="array" ref="AI96">IF(AB96,INDEX('AEA2012 update'!$K$6:$R$104,MATCH($T96&amp;$R96,'AEA2012 update'!$A$6:$A$104&amp;'AEA2012 update'!$B$6:$B$104,0),MATCH(AI$16,'AEA2012 update'!$S$4:$Z$4,0)),INDEX('AEA2012 update'!$K$6:$R$104,MATCH($T96&amp;$U96,'AEA2012 update'!$A$6:$A$104&amp;'AEA2012 update'!$B$6:$B$104,0),MATCH(AI$16,'AEA2012 update'!$S$4:$Z$4,0)))</f>
        <v>915629.31066949805</v>
      </c>
      <c r="AJ96" s="103" cm="1">
        <f t="array" ref="AJ96">IF(AC96,INDEX('AEA2012 update'!$K$6:$R$104,MATCH($T96&amp;$R96,'AEA2012 update'!$A$6:$A$104&amp;'AEA2012 update'!$B$6:$B$104,0),MATCH(AJ$16,'AEA2012 update'!$S$4:$Z$4,0)),INDEX('AEA2012 update'!$K$6:$R$104,MATCH($T96&amp;$U96,'AEA2012 update'!$A$6:$A$104&amp;'AEA2012 update'!$B$6:$B$104,0),MATCH(AJ$16,'AEA2012 update'!$S$4:$Z$4,0)))</f>
        <v>945215.87798179325</v>
      </c>
      <c r="AK96" s="103" t="str">
        <f t="shared" si="26"/>
        <v>CV6ODS</v>
      </c>
      <c r="AL96" s="67">
        <f>1/INDEX(Analytica!$AA$17:$AE$48,MATCH($AK96,Analytica!$A$17:$A$48,0),MATCH(AL$16,Analytica!$AA$16:$AE$16,0))</f>
        <v>15.351533031153163</v>
      </c>
      <c r="AM96" s="67">
        <f t="array" ref="AM96">IF($AE$1,AL96*(1+INDEX(AM$1:AM$2,MATCH($O96,$AI$1:$AI$2,0)))^(AM$16-AL$16),INDEX('AEA2012 update'!$AC$6:$AG$104,MATCH($T96&amp;$U96,'AEA2012 update'!$A$6:$A$104&amp;'AEA2012 update'!$B$6:$B$104,0),MATCH(AM$16,'AEA2012 update'!$AC$4:$AG$4,0)))</f>
        <v>15.305524471307264</v>
      </c>
      <c r="AN96" s="67">
        <f t="array" ref="AN96">IF($AE$1,AM96*(1+INDEX(AN$1:AN$2,MATCH($O96,$AI$1:$AI$2,0)))^(AN$16-AM$16),INDEX('AEA2012 update'!$AC$6:$AG$104,MATCH($T96&amp;$U96,'AEA2012 update'!$A$6:$A$104&amp;'AEA2012 update'!$B$6:$B$104,0),MATCH(AN$16,'AEA2012 update'!$AC$4:$AG$4,0)))</f>
        <v>14.484252617610334</v>
      </c>
      <c r="AO96" s="67">
        <f t="array" ref="AO96">IF($AE$1,AN96*(1+INDEX(AO$1:AO$2,MATCH($O96,$AI$1:$AI$2,0)))^(AO$16-AN$16),INDEX('AEA2012 update'!$AC$6:$AG$104,MATCH($T96&amp;$U96,'AEA2012 update'!$A$6:$A$104&amp;'AEA2012 update'!$B$6:$B$104,0),MATCH(AO$16,'AEA2012 update'!$AC$4:$AG$4,0)))</f>
        <v>13.099298437266139</v>
      </c>
      <c r="AP96" s="67">
        <f t="array" ref="AP96">IF($AE$1,AO96*(1+INDEX(AP$1:AP$2,MATCH($O96,$AI$1:$AI$2,0)))^(AP$16-AO$16),INDEX('AEA2012 update'!$AC$6:$AG$104,MATCH($T96&amp;$U96,'AEA2012 update'!$A$6:$A$104&amp;'AEA2012 update'!$B$6:$B$104,0),MATCH(AP$16,'AEA2012 update'!$AC$4:$AG$4,0)))</f>
        <v>11.846770701854338</v>
      </c>
      <c r="AQ96" s="67"/>
      <c r="AR96" s="274">
        <f t="shared" si="24"/>
        <v>-9.9900033333335169E-4</v>
      </c>
      <c r="AS96" s="274">
        <f t="shared" si="25"/>
        <v>-7.5326913841620435E-3</v>
      </c>
      <c r="AY96" s="61" t="str">
        <f t="shared" si="22"/>
        <v>HCV6-ODS</v>
      </c>
      <c r="AZ96" s="80" t="e" cm="1">
        <f t="array" aca="1" ref="AZ96" ca="1">AL96/INDIRECT("cv."&amp;LEFT($U96,6)&amp;".hhv.MJL") * 100</f>
        <v>#REF!</v>
      </c>
      <c r="BA96" s="80" t="e" cm="1">
        <f t="array" aca="1" ref="BA96" ca="1">AM96/INDIRECT("cv."&amp;LEFT($U96,6)&amp;".hhv.MJL") * 100</f>
        <v>#REF!</v>
      </c>
      <c r="BB96" s="80" t="e" cm="1">
        <f t="array" aca="1" ref="BB96" ca="1">AN96/INDIRECT("cv."&amp;LEFT($U96,6)&amp;".hhv.MJL") * 100</f>
        <v>#REF!</v>
      </c>
      <c r="BC96" s="80" t="e" cm="1">
        <f t="array" aca="1" ref="BC96" ca="1">AO96/INDIRECT("cv."&amp;LEFT($U96,6)&amp;".hhv.MJL") * 100</f>
        <v>#REF!</v>
      </c>
      <c r="BD96" s="80" t="e" cm="1">
        <f t="array" aca="1" ref="BD96" ca="1">AP96/INDIRECT("cv."&amp;LEFT($U96,6)&amp;".hhv.MJL") * 100</f>
        <v>#REF!</v>
      </c>
    </row>
    <row r="97" spans="1:59" x14ac:dyDescent="0.25">
      <c r="A97"/>
      <c r="B97" t="s">
        <v>742</v>
      </c>
      <c r="C97" t="s">
        <v>742</v>
      </c>
      <c r="D97" t="s">
        <v>743</v>
      </c>
      <c r="E97" t="s">
        <v>743</v>
      </c>
      <c r="F97"/>
      <c r="G97" t="s">
        <v>744</v>
      </c>
      <c r="H97" t="s">
        <v>744</v>
      </c>
      <c r="I97"/>
      <c r="J97" t="s">
        <v>744</v>
      </c>
      <c r="N97" s="61" t="s">
        <v>504</v>
      </c>
      <c r="O97" s="61" t="s">
        <v>653</v>
      </c>
      <c r="P97" s="61" t="s">
        <v>741</v>
      </c>
      <c r="Q97" s="61" t="str">
        <f t="shared" si="23"/>
        <v>CV6</v>
      </c>
      <c r="R97" s="61" t="s">
        <v>687</v>
      </c>
      <c r="S97" s="65"/>
      <c r="T97" s="273" t="s">
        <v>735</v>
      </c>
      <c r="U97" s="957" t="s">
        <v>699</v>
      </c>
      <c r="V97" s="965">
        <v>2050</v>
      </c>
      <c r="W97" s="958">
        <f t="shared" si="21"/>
        <v>0</v>
      </c>
      <c r="X97" s="959">
        <f t="shared" si="21"/>
        <v>0</v>
      </c>
      <c r="Y97" s="959">
        <f t="shared" si="21"/>
        <v>0</v>
      </c>
      <c r="Z97" s="959">
        <f t="shared" si="21"/>
        <v>0</v>
      </c>
      <c r="AA97" s="959">
        <f t="shared" si="21"/>
        <v>0</v>
      </c>
      <c r="AB97" s="959">
        <f t="shared" si="21"/>
        <v>0</v>
      </c>
      <c r="AC97" s="960">
        <f t="shared" si="21"/>
        <v>1</v>
      </c>
      <c r="AD97" s="103" cm="1">
        <f t="array" ref="AD97">IF(W97,INDEX('AEA2012 update'!$K$6:$R$104,MATCH($T97&amp;$R97,'AEA2012 update'!$A$6:$A$104&amp;'AEA2012 update'!$B$6:$B$104,0),MATCH(AD$16,'AEA2012 update'!$S$4:$Z$4,0)),INDEX('AEA2012 update'!$K$6:$R$104,MATCH($T97&amp;$U97,'AEA2012 update'!$A$6:$A$104&amp;'AEA2012 update'!$B$6:$B$104,0),MATCH(AD$16,'AEA2012 update'!$S$4:$Z$4,0)))</f>
        <v>4181375.5668412126</v>
      </c>
      <c r="AE97" s="103" cm="1">
        <f t="array" ref="AE97">IF(X97,INDEX('AEA2012 update'!$K$6:$R$104,MATCH($T97&amp;$R97,'AEA2012 update'!$A$6:$A$104&amp;'AEA2012 update'!$B$6:$B$104,0),MATCH(AE$16,'AEA2012 update'!$S$4:$Z$4,0)),INDEX('AEA2012 update'!$K$6:$R$104,MATCH($T97&amp;$U97,'AEA2012 update'!$A$6:$A$104&amp;'AEA2012 update'!$B$6:$B$104,0),MATCH(AE$16,'AEA2012 update'!$S$4:$Z$4,0)))</f>
        <v>1813107.7355248218</v>
      </c>
      <c r="AF97" s="103" cm="1">
        <f t="array" ref="AF97">IF(Y97,INDEX('AEA2012 update'!$K$6:$R$104,MATCH($T97&amp;$R97,'AEA2012 update'!$A$6:$A$104&amp;'AEA2012 update'!$B$6:$B$104,0),MATCH(AF$16,'AEA2012 update'!$S$4:$Z$4,0)),INDEX('AEA2012 update'!$K$6:$R$104,MATCH($T97&amp;$U97,'AEA2012 update'!$A$6:$A$104&amp;'AEA2012 update'!$B$6:$B$104,0),MATCH(AF$16,'AEA2012 update'!$S$4:$Z$4,0)))</f>
        <v>1437160.6416999607</v>
      </c>
      <c r="AG97" s="103" cm="1">
        <f t="array" ref="AG97">IF(Z97,INDEX('AEA2012 update'!$K$6:$R$104,MATCH($T97&amp;$R97,'AEA2012 update'!$A$6:$A$104&amp;'AEA2012 update'!$B$6:$B$104,0),MATCH(AG$16,'AEA2012 update'!$S$4:$Z$4,0)),INDEX('AEA2012 update'!$K$6:$R$104,MATCH($T97&amp;$U97,'AEA2012 update'!$A$6:$A$104&amp;'AEA2012 update'!$B$6:$B$104,0),MATCH(AG$16,'AEA2012 update'!$S$4:$Z$4,0)))</f>
        <v>1061213.5478750996</v>
      </c>
      <c r="AH97" s="103" cm="1">
        <f t="array" ref="AH97">IF(AA97,INDEX('AEA2012 update'!$K$6:$R$104,MATCH($T97&amp;$R97,'AEA2012 update'!$A$6:$A$104&amp;'AEA2012 update'!$B$6:$B$104,0),MATCH(AH$16,'AEA2012 update'!$S$4:$Z$4,0)),INDEX('AEA2012 update'!$K$6:$R$104,MATCH($T97&amp;$U97,'AEA2012 update'!$A$6:$A$104&amp;'AEA2012 update'!$B$6:$B$104,0),MATCH(AH$16,'AEA2012 update'!$S$4:$Z$4,0)))</f>
        <v>1011982.5087271776</v>
      </c>
      <c r="AI97" s="103" cm="1">
        <f t="array" ref="AI97">IF(AB97,INDEX('AEA2012 update'!$K$6:$R$104,MATCH($T97&amp;$R97,'AEA2012 update'!$A$6:$A$104&amp;'AEA2012 update'!$B$6:$B$104,0),MATCH(AI$16,'AEA2012 update'!$S$4:$Z$4,0)),INDEX('AEA2012 update'!$K$6:$R$104,MATCH($T97&amp;$U97,'AEA2012 update'!$A$6:$A$104&amp;'AEA2012 update'!$B$6:$B$104,0),MATCH(AI$16,'AEA2012 update'!$S$4:$Z$4,0)))</f>
        <v>962751.46957925544</v>
      </c>
      <c r="AJ97" s="103" cm="1">
        <f t="array" ref="AJ97">IF(AC97,INDEX('AEA2012 update'!$K$6:$R$104,MATCH($T97&amp;$R97,'AEA2012 update'!$A$6:$A$104&amp;'AEA2012 update'!$B$6:$B$104,0),MATCH(AJ$16,'AEA2012 update'!$S$4:$Z$4,0)),INDEX('AEA2012 update'!$K$6:$R$104,MATCH($T97&amp;$U97,'AEA2012 update'!$A$6:$A$104&amp;'AEA2012 update'!$B$6:$B$104,0),MATCH(AJ$16,'AEA2012 update'!$S$4:$Z$4,0)))</f>
        <v>945215.87798179325</v>
      </c>
      <c r="AK97" s="103" t="str">
        <f t="shared" si="26"/>
        <v>CV6HGN</v>
      </c>
      <c r="AL97" s="67">
        <f>INDEX('Vehicle data '!$AD$20:$AD$110,MATCH($AK97,'Vehicle data '!$AC$20:$AC$110,0))/INDEX('Vehicle data '!$AD$20:$AD$110,MATCH($AK$96,'Vehicle data '!$AC$20:$AC$110,0))*AL$96</f>
        <v>7.2765455442373499</v>
      </c>
      <c r="AM97" s="67">
        <f t="array" ref="AM97">IF($AE$1,AL97*(1+INDEX(AM$1:AM$2,MATCH($O97,$AI$1:$AI$2,0)))^(AM$16-AL$16),INDEX('AEA2012 update'!$AC$6:$AG$104,MATCH($T97&amp;$U97,'AEA2012 update'!$A$6:$A$104&amp;'AEA2012 update'!$B$6:$B$104,0),MATCH(AM$16,'AEA2012 update'!$AC$4:$AG$4,0)))</f>
        <v>7.2547377299647247</v>
      </c>
      <c r="AN97" s="67">
        <f t="array" ref="AN97">IF($AE$1,AM97*(1+INDEX(AN$1:AN$2,MATCH($O97,$AI$1:$AI$2,0)))^(AN$16-AM$16),INDEX('AEA2012 update'!$AC$6:$AG$104,MATCH($T97&amp;$U97,'AEA2012 update'!$A$6:$A$104&amp;'AEA2012 update'!$B$6:$B$104,0),MATCH(AN$16,'AEA2012 update'!$AC$4:$AG$4,0)))</f>
        <v>6.865459210646903</v>
      </c>
      <c r="AO97" s="67">
        <f t="array" ref="AO97">IF($AE$1,AN97*(1+INDEX(AO$1:AO$2,MATCH($O97,$AI$1:$AI$2,0)))^(AO$16-AN$16),INDEX('AEA2012 update'!$AC$6:$AG$104,MATCH($T97&amp;$U97,'AEA2012 update'!$A$6:$A$104&amp;'AEA2012 update'!$B$6:$B$104,0),MATCH(AO$16,'AEA2012 update'!$AC$4:$AG$4,0)))</f>
        <v>6.2089982468131542</v>
      </c>
      <c r="AP97" s="67">
        <f t="array" ref="AP97">IF($AE$1,AO97*(1+INDEX(AP$1:AP$2,MATCH($O97,$AI$1:$AI$2,0)))^(AP$16-AO$16),INDEX('AEA2012 update'!$AC$6:$AG$104,MATCH($T97&amp;$U97,'AEA2012 update'!$A$6:$A$104&amp;'AEA2012 update'!$B$6:$B$104,0),MATCH(AP$16,'AEA2012 update'!$AC$4:$AG$4,0)))</f>
        <v>5.6153067181789087</v>
      </c>
      <c r="AQ97" s="67"/>
      <c r="AR97" s="274">
        <f t="shared" si="24"/>
        <v>-9.9900033333334953E-4</v>
      </c>
      <c r="AS97" s="274">
        <f t="shared" si="25"/>
        <v>-7.5326913841620357E-3</v>
      </c>
      <c r="AY97" s="61" t="str">
        <f t="shared" si="22"/>
        <v>HCV6-HGN</v>
      </c>
      <c r="AZ97" s="80" t="e" cm="1">
        <f t="array" aca="1" ref="AZ97" ca="1">AL97/INDIRECT("cv."&amp;LEFT($U97,6)&amp;".hhv.MJL") * 100</f>
        <v>#REF!</v>
      </c>
      <c r="BA97" s="80" t="e" cm="1">
        <f t="array" aca="1" ref="BA97" ca="1">AM97/INDIRECT("cv."&amp;LEFT($U97,6)&amp;".hhv.MJL") * 100</f>
        <v>#REF!</v>
      </c>
      <c r="BB97" s="80" t="e" cm="1">
        <f t="array" aca="1" ref="BB97" ca="1">AN97/INDIRECT("cv."&amp;LEFT($U97,6)&amp;".hhv.MJL") * 100</f>
        <v>#REF!</v>
      </c>
      <c r="BC97" s="80" t="e" cm="1">
        <f t="array" aca="1" ref="BC97" ca="1">AO97/INDIRECT("cv."&amp;LEFT($U97,6)&amp;".hhv.MJL") * 100</f>
        <v>#REF!</v>
      </c>
      <c r="BD97" s="80" t="e" cm="1">
        <f t="array" aca="1" ref="BD97" ca="1">AP97/INDIRECT("cv."&amp;LEFT($U97,6)&amp;".hhv.MJL") * 100</f>
        <v>#REF!</v>
      </c>
    </row>
    <row r="98" spans="1:59"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23"/>
        <v>CV6</v>
      </c>
      <c r="R98" s="61" t="s">
        <v>687</v>
      </c>
      <c r="S98" s="65"/>
      <c r="T98" s="273" t="s">
        <v>735</v>
      </c>
      <c r="U98" s="957" t="s">
        <v>700</v>
      </c>
      <c r="V98" s="965"/>
      <c r="W98" s="958">
        <f t="shared" si="21"/>
        <v>0</v>
      </c>
      <c r="X98" s="959">
        <f t="shared" si="21"/>
        <v>0</v>
      </c>
      <c r="Y98" s="959">
        <f t="shared" si="21"/>
        <v>0</v>
      </c>
      <c r="Z98" s="959">
        <f t="shared" si="21"/>
        <v>0</v>
      </c>
      <c r="AA98" s="959">
        <f t="shared" si="21"/>
        <v>0</v>
      </c>
      <c r="AB98" s="959">
        <f t="shared" si="21"/>
        <v>0</v>
      </c>
      <c r="AC98" s="960">
        <f t="shared" si="21"/>
        <v>0</v>
      </c>
      <c r="AD98" s="103" cm="1">
        <f t="array" ref="AD98">IF(W98,INDEX('AEA2012 update'!$K$6:$R$104,MATCH($T98&amp;$R98,'AEA2012 update'!$A$6:$A$104&amp;'AEA2012 update'!$B$6:$B$104,0),MATCH(AD$16,'AEA2012 update'!$S$4:$Z$4,0)),INDEX('AEA2012 update'!$K$6:$R$104,MATCH($T98&amp;$U98,'AEA2012 update'!$A$6:$A$104&amp;'AEA2012 update'!$B$6:$B$104,0),MATCH(AD$16,'AEA2012 update'!$S$4:$Z$4,0)))</f>
        <v>935580.03017164103</v>
      </c>
      <c r="AE98" s="103" cm="1">
        <f t="array" ref="AE98">IF(X98,INDEX('AEA2012 update'!$K$6:$R$104,MATCH($T98&amp;$R98,'AEA2012 update'!$A$6:$A$104&amp;'AEA2012 update'!$B$6:$B$104,0),MATCH(AE$16,'AEA2012 update'!$S$4:$Z$4,0)),INDEX('AEA2012 update'!$K$6:$R$104,MATCH($T98&amp;$U98,'AEA2012 update'!$A$6:$A$104&amp;'AEA2012 update'!$B$6:$B$104,0),MATCH(AE$16,'AEA2012 update'!$S$4:$Z$4,0)))</f>
        <v>955910.20610261254</v>
      </c>
      <c r="AF98" s="103" cm="1">
        <f t="array" ref="AF98">IF(Y98,INDEX('AEA2012 update'!$K$6:$R$104,MATCH($T98&amp;$R98,'AEA2012 update'!$A$6:$A$104&amp;'AEA2012 update'!$B$6:$B$104,0),MATCH(AF$16,'AEA2012 update'!$S$4:$Z$4,0)),INDEX('AEA2012 update'!$K$6:$R$104,MATCH($T98&amp;$U98,'AEA2012 update'!$A$6:$A$104&amp;'AEA2012 update'!$B$6:$B$104,0),MATCH(AF$16,'AEA2012 update'!$S$4:$Z$4,0)))</f>
        <v>961413.7558443757</v>
      </c>
      <c r="AG98" s="103" cm="1">
        <f t="array" ref="AG98">IF(Z98,INDEX('AEA2012 update'!$K$6:$R$104,MATCH($T98&amp;$R98,'AEA2012 update'!$A$6:$A$104&amp;'AEA2012 update'!$B$6:$B$104,0),MATCH(AG$16,'AEA2012 update'!$S$4:$Z$4,0)),INDEX('AEA2012 update'!$K$6:$R$104,MATCH($T98&amp;$U98,'AEA2012 update'!$A$6:$A$104&amp;'AEA2012 update'!$B$6:$B$104,0),MATCH(AG$16,'AEA2012 update'!$S$4:$Z$4,0)))</f>
        <v>966917.30558613921</v>
      </c>
      <c r="AH98" s="103" cm="1">
        <f t="array" ref="AH98">IF(AA98,INDEX('AEA2012 update'!$K$6:$R$104,MATCH($T98&amp;$R98,'AEA2012 update'!$A$6:$A$104&amp;'AEA2012 update'!$B$6:$B$104,0),MATCH(AH$16,'AEA2012 update'!$S$4:$Z$4,0)),INDEX('AEA2012 update'!$K$6:$R$104,MATCH($T98&amp;$U98,'AEA2012 update'!$A$6:$A$104&amp;'AEA2012 update'!$B$6:$B$104,0),MATCH(AH$16,'AEA2012 update'!$S$4:$Z$4,0)))</f>
        <v>974635.68364717788</v>
      </c>
      <c r="AI98" s="103" cm="1">
        <f t="array" ref="AI98">IF(AB98,INDEX('AEA2012 update'!$K$6:$R$104,MATCH($T98&amp;$R98,'AEA2012 update'!$A$6:$A$104&amp;'AEA2012 update'!$B$6:$B$104,0),MATCH(AI$16,'AEA2012 update'!$S$4:$Z$4,0)),INDEX('AEA2012 update'!$K$6:$R$104,MATCH($T98&amp;$U98,'AEA2012 update'!$A$6:$A$104&amp;'AEA2012 update'!$B$6:$B$104,0),MATCH(AI$16,'AEA2012 update'!$S$4:$Z$4,0)))</f>
        <v>982354.06170821632</v>
      </c>
      <c r="AJ98" s="103" cm="1">
        <f t="array" ref="AJ98">IF(AC98,INDEX('AEA2012 update'!$K$6:$R$104,MATCH($T98&amp;$R98,'AEA2012 update'!$A$6:$A$104&amp;'AEA2012 update'!$B$6:$B$104,0),MATCH(AJ$16,'AEA2012 update'!$S$4:$Z$4,0)),INDEX('AEA2012 update'!$K$6:$R$104,MATCH($T98&amp;$U98,'AEA2012 update'!$A$6:$A$104&amp;'AEA2012 update'!$B$6:$B$104,0),MATCH(AJ$16,'AEA2012 update'!$S$4:$Z$4,0)))</f>
        <v>999536.2229329109</v>
      </c>
      <c r="AK98" s="103" t="str">
        <f t="shared" si="26"/>
        <v>CV6GAS</v>
      </c>
      <c r="AL98" s="67">
        <f>INDEX('Vehicle data '!$AD$20:$AD$110,MATCH($AK98,'Vehicle data '!$AC$20:$AC$110,0))/INDEX('Vehicle data '!$AD$20:$AD$110,MATCH($AK$96,'Vehicle data '!$AC$20:$AC$110,0))*AL$96</f>
        <v>17.654262985826136</v>
      </c>
      <c r="AM98" s="67">
        <f t="array" ref="AM98">IF($AE$1,AL98*(1+INDEX(AM$1:AM$2,MATCH($O98,$AI$1:$AI$2,0)))^(AM$16-AL$16),INDEX('AEA2012 update'!$AC$6:$AG$104,MATCH($T98&amp;$U98,'AEA2012 update'!$A$6:$A$104&amp;'AEA2012 update'!$B$6:$B$104,0),MATCH(AM$16,'AEA2012 update'!$AC$4:$AG$4,0)))</f>
        <v>17.601353142003351</v>
      </c>
      <c r="AN98" s="67">
        <f t="array" ref="AN98">IF($AE$1,AM98*(1+INDEX(AN$1:AN$2,MATCH($O98,$AI$1:$AI$2,0)))^(AN$16-AM$16),INDEX('AEA2012 update'!$AC$6:$AG$104,MATCH($T98&amp;$U98,'AEA2012 update'!$A$6:$A$104&amp;'AEA2012 update'!$B$6:$B$104,0),MATCH(AN$16,'AEA2012 update'!$AC$4:$AG$4,0)))</f>
        <v>16.656890510251884</v>
      </c>
      <c r="AO98" s="67">
        <f t="array" ref="AO98">IF($AE$1,AN98*(1+INDEX(AO$1:AO$2,MATCH($O98,$AI$1:$AI$2,0)))^(AO$16-AN$16),INDEX('AEA2012 update'!$AC$6:$AG$104,MATCH($T98&amp;$U98,'AEA2012 update'!$A$6:$A$104&amp;'AEA2012 update'!$B$6:$B$104,0),MATCH(AO$16,'AEA2012 update'!$AC$4:$AG$4,0)))</f>
        <v>15.06419320285606</v>
      </c>
      <c r="AP98" s="67">
        <f t="array" ref="AP98">IF($AE$1,AO98*(1+INDEX(AP$1:AP$2,MATCH($O98,$AI$1:$AI$2,0)))^(AP$16-AO$16),INDEX('AEA2012 update'!$AC$6:$AG$104,MATCH($T98&amp;$U98,'AEA2012 update'!$A$6:$A$104&amp;'AEA2012 update'!$B$6:$B$104,0),MATCH(AP$16,'AEA2012 update'!$AC$4:$AG$4,0)))</f>
        <v>13.623786307132489</v>
      </c>
      <c r="AQ98" s="67"/>
      <c r="AR98" s="274">
        <f t="shared" si="24"/>
        <v>-9.9900033333336362E-4</v>
      </c>
      <c r="AS98" s="274">
        <f t="shared" si="25"/>
        <v>-7.5326913841620383E-3</v>
      </c>
      <c r="AY98" s="61" t="str">
        <f t="shared" si="22"/>
        <v>HCV6-GAS</v>
      </c>
      <c r="AZ98" s="80" t="e" cm="1">
        <f t="array" aca="1" ref="AZ98" ca="1">AL98/INDIRECT("cv."&amp;LEFT($U98,6)&amp;".hhv.MJL") * 100</f>
        <v>#REF!</v>
      </c>
      <c r="BA98" s="80" t="e" cm="1">
        <f t="array" aca="1" ref="BA98" ca="1">AM98/INDIRECT("cv."&amp;LEFT($U98,6)&amp;".hhv.MJL") * 100</f>
        <v>#REF!</v>
      </c>
      <c r="BB98" s="80" t="e" cm="1">
        <f t="array" aca="1" ref="BB98" ca="1">AN98/INDIRECT("cv."&amp;LEFT($U98,6)&amp;".hhv.MJL") * 100</f>
        <v>#REF!</v>
      </c>
      <c r="BC98" s="80" t="e" cm="1">
        <f t="array" aca="1" ref="BC98" ca="1">AO98/INDIRECT("cv."&amp;LEFT($U98,6)&amp;".hhv.MJL") * 100</f>
        <v>#REF!</v>
      </c>
      <c r="BD98" s="80" t="e" cm="1">
        <f t="array" aca="1" ref="BD98" ca="1">AP98/INDIRECT("cv."&amp;LEFT($U98,6)&amp;".hhv.MJL") * 100</f>
        <v>#REF!</v>
      </c>
    </row>
    <row r="99" spans="1:59" x14ac:dyDescent="0.25">
      <c r="A99"/>
      <c r="B99" s="67">
        <v>13</v>
      </c>
      <c r="C99">
        <v>36170</v>
      </c>
      <c r="D99" s="67">
        <v>15</v>
      </c>
      <c r="E99">
        <v>44700</v>
      </c>
      <c r="F99"/>
      <c r="G99" s="67">
        <f t="shared" ref="G99:H101" si="27">B99/D99</f>
        <v>0.8666666666666667</v>
      </c>
      <c r="H99" s="67">
        <f t="shared" si="27"/>
        <v>0.80917225950783001</v>
      </c>
      <c r="I99"/>
      <c r="J99" s="63">
        <v>-0.11</v>
      </c>
      <c r="O99" s="61" t="s">
        <v>653</v>
      </c>
      <c r="Q99" s="61" t="str">
        <f t="shared" si="23"/>
        <v/>
      </c>
      <c r="S99" s="65"/>
      <c r="T99" s="273"/>
      <c r="V99" s="965"/>
      <c r="W99" s="961">
        <f t="shared" si="21"/>
        <v>0</v>
      </c>
      <c r="X99" s="962">
        <f t="shared" si="21"/>
        <v>0</v>
      </c>
      <c r="Y99" s="962">
        <f t="shared" si="21"/>
        <v>0</v>
      </c>
      <c r="Z99" s="962">
        <f t="shared" si="21"/>
        <v>0</v>
      </c>
      <c r="AA99" s="962">
        <f t="shared" si="21"/>
        <v>0</v>
      </c>
      <c r="AB99" s="962">
        <f t="shared" si="21"/>
        <v>0</v>
      </c>
      <c r="AC99" s="963">
        <f t="shared" si="21"/>
        <v>0</v>
      </c>
      <c r="AD99" s="103" t="e" cm="1">
        <f t="array" ref="AD99">IF(W99,INDEX('AEA2012 update'!$K$6:$R$104,MATCH($T99&amp;$R99,'AEA2012 update'!$A$6:$A$104&amp;'AEA2012 update'!$B$6:$B$104,0),MATCH(AD$16,'AEA2012 update'!$S$4:$Z$4,0)),INDEX('AEA2012 update'!$K$6:$R$104,MATCH($T99&amp;$U99,'AEA2012 update'!$A$6:$A$104&amp;'AEA2012 update'!$B$6:$B$104,0),MATCH(AD$16,'AEA2012 update'!$S$4:$Z$4,0)))</f>
        <v>#N/A</v>
      </c>
      <c r="AE99" s="103" t="e" cm="1">
        <f t="array" ref="AE99">IF(X99,INDEX('AEA2012 update'!$K$6:$R$104,MATCH($T99&amp;$R99,'AEA2012 update'!$A$6:$A$104&amp;'AEA2012 update'!$B$6:$B$104,0),MATCH(AE$16,'AEA2012 update'!$S$4:$Z$4,0)),INDEX('AEA2012 update'!$K$6:$R$104,MATCH($T99&amp;$U99,'AEA2012 update'!$A$6:$A$104&amp;'AEA2012 update'!$B$6:$B$104,0),MATCH(AE$16,'AEA2012 update'!$S$4:$Z$4,0)))</f>
        <v>#N/A</v>
      </c>
      <c r="AF99" s="103" t="e" cm="1">
        <f t="array" ref="AF99">IF(Y99,INDEX('AEA2012 update'!$K$6:$R$104,MATCH($T99&amp;$R99,'AEA2012 update'!$A$6:$A$104&amp;'AEA2012 update'!$B$6:$B$104,0),MATCH(AF$16,'AEA2012 update'!$S$4:$Z$4,0)),INDEX('AEA2012 update'!$K$6:$R$104,MATCH($T99&amp;$U99,'AEA2012 update'!$A$6:$A$104&amp;'AEA2012 update'!$B$6:$B$104,0),MATCH(AF$16,'AEA2012 update'!$S$4:$Z$4,0)))</f>
        <v>#N/A</v>
      </c>
      <c r="AG99" s="103" t="e" cm="1">
        <f t="array" ref="AG99">IF(Z99,INDEX('AEA2012 update'!$K$6:$R$104,MATCH($T99&amp;$R99,'AEA2012 update'!$A$6:$A$104&amp;'AEA2012 update'!$B$6:$B$104,0),MATCH(AG$16,'AEA2012 update'!$S$4:$Z$4,0)),INDEX('AEA2012 update'!$K$6:$R$104,MATCH($T99&amp;$U99,'AEA2012 update'!$A$6:$A$104&amp;'AEA2012 update'!$B$6:$B$104,0),MATCH(AG$16,'AEA2012 update'!$S$4:$Z$4,0)))</f>
        <v>#N/A</v>
      </c>
      <c r="AH99" s="103" t="e" cm="1">
        <f t="array" ref="AH99">IF(AA99,INDEX('AEA2012 update'!$K$6:$R$104,MATCH($T99&amp;$R99,'AEA2012 update'!$A$6:$A$104&amp;'AEA2012 update'!$B$6:$B$104,0),MATCH(AH$16,'AEA2012 update'!$S$4:$Z$4,0)),INDEX('AEA2012 update'!$K$6:$R$104,MATCH($T99&amp;$U99,'AEA2012 update'!$A$6:$A$104&amp;'AEA2012 update'!$B$6:$B$104,0),MATCH(AH$16,'AEA2012 update'!$S$4:$Z$4,0)))</f>
        <v>#N/A</v>
      </c>
      <c r="AI99" s="103" t="e" cm="1">
        <f t="array" ref="AI99">IF(AB99,INDEX('AEA2012 update'!$K$6:$R$104,MATCH($T99&amp;$R99,'AEA2012 update'!$A$6:$A$104&amp;'AEA2012 update'!$B$6:$B$104,0),MATCH(AI$16,'AEA2012 update'!$S$4:$Z$4,0)),INDEX('AEA2012 update'!$K$6:$R$104,MATCH($T99&amp;$U99,'AEA2012 update'!$A$6:$A$104&amp;'AEA2012 update'!$B$6:$B$104,0),MATCH(AI$16,'AEA2012 update'!$S$4:$Z$4,0)))</f>
        <v>#N/A</v>
      </c>
      <c r="AJ99" s="103" t="e" cm="1">
        <f t="array" ref="AJ99">IF(AC99,INDEX('AEA2012 update'!$K$6:$R$104,MATCH($T99&amp;$R99,'AEA2012 update'!$A$6:$A$104&amp;'AEA2012 update'!$B$6:$B$104,0),MATCH(AJ$16,'AEA2012 update'!$S$4:$Z$4,0)),INDEX('AEA2012 update'!$K$6:$R$104,MATCH($T99&amp;$U99,'AEA2012 update'!$A$6:$A$104&amp;'AEA2012 update'!$B$6:$B$104,0),MATCH(AJ$16,'AEA2012 update'!$S$4:$Z$4,0)))</f>
        <v>#N/A</v>
      </c>
      <c r="AK99" s="103" t="str">
        <f t="shared" si="26"/>
        <v/>
      </c>
      <c r="AL99" s="67" t="e">
        <f>1/INDEX(Analytica!$AA$17:$AE$48,MATCH($AK99,Analytica!$A$17:$A$48,0),MATCH(AL$16,Analytica!$AA$16:$AE$16,0))</f>
        <v>#N/A</v>
      </c>
      <c r="AM99" s="67" t="e">
        <f t="array" ref="AM99">IF($AE$1,AL99*(1+INDEX(AM$1:AM$2,MATCH($O99,$AI$1:$AI$2,0)))^(AM$16-AL$16),INDEX('AEA2012 update'!$AC$6:$AG$104,MATCH($T99&amp;$U99,'AEA2012 update'!$A$6:$A$104&amp;'AEA2012 update'!$B$6:$B$104,0),MATCH(AM$16,'AEA2012 update'!$AC$4:$AG$4,0)))</f>
        <v>#N/A</v>
      </c>
      <c r="AN99" s="67" t="e">
        <f t="array" ref="AN99">IF($AE$1,AM99*(1+INDEX(AN$1:AN$2,MATCH($O99,$AI$1:$AI$2,0)))^(AN$16-AM$16),INDEX('AEA2012 update'!$AC$6:$AG$104,MATCH($T99&amp;$U99,'AEA2012 update'!$A$6:$A$104&amp;'AEA2012 update'!$B$6:$B$104,0),MATCH(AN$16,'AEA2012 update'!$AC$4:$AG$4,0)))</f>
        <v>#N/A</v>
      </c>
      <c r="AO99" s="67" t="e">
        <f t="array" ref="AO99">IF($AE$1,AN99*(1+INDEX(AO$1:AO$2,MATCH($O99,$AI$1:$AI$2,0)))^(AO$16-AN$16),INDEX('AEA2012 update'!$AC$6:$AG$104,MATCH($T99&amp;$U99,'AEA2012 update'!$A$6:$A$104&amp;'AEA2012 update'!$B$6:$B$104,0),MATCH(AO$16,'AEA2012 update'!$AC$4:$AG$4,0)))</f>
        <v>#N/A</v>
      </c>
      <c r="AP99" s="67" t="e">
        <f t="array" ref="AP99">IF($AE$1,AO99*(1+INDEX(AP$1:AP$2,MATCH($O99,$AI$1:$AI$2,0)))^(AP$16-AO$16),INDEX('AEA2012 update'!$AC$6:$AG$104,MATCH($T99&amp;$U99,'AEA2012 update'!$A$6:$A$104&amp;'AEA2012 update'!$B$6:$B$104,0),MATCH(AP$16,'AEA2012 update'!$AC$4:$AG$4,0)))</f>
        <v>#N/A</v>
      </c>
      <c r="AQ99" s="67"/>
      <c r="AR99" s="274" t="e">
        <f t="shared" si="24"/>
        <v>#N/A</v>
      </c>
      <c r="AS99" s="274" t="e">
        <f t="shared" si="25"/>
        <v>#N/A</v>
      </c>
      <c r="AY99" s="61" t="str">
        <f t="shared" si="22"/>
        <v>-</v>
      </c>
      <c r="AZ99" s="80" t="e" cm="1">
        <f t="array" aca="1" ref="AZ99" ca="1">AL99/INDIRECT("cv."&amp;LEFT($U99,6)&amp;".hhv.MJL") * 100</f>
        <v>#N/A</v>
      </c>
      <c r="BA99" s="80" t="e" cm="1">
        <f t="array" aca="1" ref="BA99" ca="1">AM99/INDIRECT("cv."&amp;LEFT($U99,6)&amp;".hhv.MJL") * 100</f>
        <v>#N/A</v>
      </c>
      <c r="BB99" s="80" t="e" cm="1">
        <f t="array" aca="1" ref="BB99" ca="1">AN99/INDIRECT("cv."&amp;LEFT($U99,6)&amp;".hhv.MJL") * 100</f>
        <v>#N/A</v>
      </c>
      <c r="BC99" s="80" t="e" cm="1">
        <f t="array" aca="1" ref="BC99" ca="1">AO99/INDIRECT("cv."&amp;LEFT($U99,6)&amp;".hhv.MJL") * 100</f>
        <v>#N/A</v>
      </c>
      <c r="BD99" s="80" t="e" cm="1">
        <f t="array" aca="1" ref="BD99" ca="1">AP99/INDIRECT("cv."&amp;LEFT($U99,6)&amp;".hhv.MJL") * 100</f>
        <v>#N/A</v>
      </c>
    </row>
    <row r="100" spans="1:59" x14ac:dyDescent="0.25">
      <c r="A100"/>
      <c r="B100" s="67">
        <v>12</v>
      </c>
      <c r="C100">
        <v>34132</v>
      </c>
      <c r="D100" s="67">
        <v>14</v>
      </c>
      <c r="E100">
        <v>45139</v>
      </c>
      <c r="F100"/>
      <c r="G100" s="67">
        <f t="shared" si="27"/>
        <v>0.8571428571428571</v>
      </c>
      <c r="H100" s="67">
        <f t="shared" si="27"/>
        <v>0.75615321562285387</v>
      </c>
      <c r="I100"/>
      <c r="J100" s="63">
        <v>-0.05</v>
      </c>
      <c r="N100" s="61" t="s">
        <v>511</v>
      </c>
      <c r="O100" s="61" t="s">
        <v>653</v>
      </c>
      <c r="P100" s="61" t="s">
        <v>746</v>
      </c>
      <c r="Q100" s="61" t="str">
        <f t="shared" si="23"/>
        <v>CV7</v>
      </c>
      <c r="R100" s="61" t="s">
        <v>687</v>
      </c>
      <c r="S100" s="65"/>
      <c r="T100" s="273" t="s">
        <v>747</v>
      </c>
      <c r="U100" s="957" t="s">
        <v>687</v>
      </c>
      <c r="V100" s="965"/>
      <c r="W100" s="958">
        <f t="shared" si="21"/>
        <v>0</v>
      </c>
      <c r="X100" s="959">
        <f t="shared" si="21"/>
        <v>0</v>
      </c>
      <c r="Y100" s="959">
        <f t="shared" si="21"/>
        <v>0</v>
      </c>
      <c r="Z100" s="959">
        <f t="shared" si="21"/>
        <v>0</v>
      </c>
      <c r="AA100" s="959">
        <f t="shared" si="21"/>
        <v>0</v>
      </c>
      <c r="AB100" s="959">
        <f t="shared" si="21"/>
        <v>0</v>
      </c>
      <c r="AC100" s="960">
        <f t="shared" si="21"/>
        <v>0</v>
      </c>
      <c r="AD100" s="103" cm="1">
        <f t="array" ref="AD100">IF(W100,INDEX('AEA2012 update'!$K$6:$R$104,MATCH($T100&amp;$R100,'AEA2012 update'!$A$6:$A$104&amp;'AEA2012 update'!$B$6:$B$104,0),MATCH(AD$16,'AEA2012 update'!$S$4:$Z$4,0)),INDEX('AEA2012 update'!$K$6:$R$104,MATCH($T100&amp;$U100,'AEA2012 update'!$A$6:$A$104&amp;'AEA2012 update'!$B$6:$B$104,0),MATCH(AD$16,'AEA2012 update'!$S$4:$Z$4,0)))</f>
        <v>1394803.006015125</v>
      </c>
      <c r="AE100" s="103" cm="1">
        <f t="array" ref="AE100">IF(X100,INDEX('AEA2012 update'!$K$6:$R$104,MATCH($T100&amp;$R100,'AEA2012 update'!$A$6:$A$104&amp;'AEA2012 update'!$B$6:$B$104,0),MATCH(AE$16,'AEA2012 update'!$S$4:$Z$4,0)),INDEX('AEA2012 update'!$K$6:$R$104,MATCH($T100&amp;$U100,'AEA2012 update'!$A$6:$A$104&amp;'AEA2012 update'!$B$6:$B$104,0),MATCH(AE$16,'AEA2012 update'!$S$4:$Z$4,0)))</f>
        <v>1729683.6457722846</v>
      </c>
      <c r="AF100" s="103" cm="1">
        <f t="array" ref="AF100">IF(Y100,INDEX('AEA2012 update'!$K$6:$R$104,MATCH($T100&amp;$R100,'AEA2012 update'!$A$6:$A$104&amp;'AEA2012 update'!$B$6:$B$104,0),MATCH(AF$16,'AEA2012 update'!$S$4:$Z$4,0)),INDEX('AEA2012 update'!$K$6:$R$104,MATCH($T100&amp;$U100,'AEA2012 update'!$A$6:$A$104&amp;'AEA2012 update'!$B$6:$B$104,0),MATCH(AF$16,'AEA2012 update'!$S$4:$Z$4,0)))</f>
        <v>1774391.33913615</v>
      </c>
      <c r="AG100" s="103" cm="1">
        <f t="array" ref="AG100">IF(Z100,INDEX('AEA2012 update'!$K$6:$R$104,MATCH($T100&amp;$R100,'AEA2012 update'!$A$6:$A$104&amp;'AEA2012 update'!$B$6:$B$104,0),MATCH(AG$16,'AEA2012 update'!$S$4:$Z$4,0)),INDEX('AEA2012 update'!$K$6:$R$104,MATCH($T100&amp;$U100,'AEA2012 update'!$A$6:$A$104&amp;'AEA2012 update'!$B$6:$B$104,0),MATCH(AG$16,'AEA2012 update'!$S$4:$Z$4,0)))</f>
        <v>1819099.0325000153</v>
      </c>
      <c r="AH100" s="103" cm="1">
        <f t="array" ref="AH100">IF(AA100,INDEX('AEA2012 update'!$K$6:$R$104,MATCH($T100&amp;$R100,'AEA2012 update'!$A$6:$A$104&amp;'AEA2012 update'!$B$6:$B$104,0),MATCH(AH$16,'AEA2012 update'!$S$4:$Z$4,0)),INDEX('AEA2012 update'!$K$6:$R$104,MATCH($T100&amp;$U100,'AEA2012 update'!$A$6:$A$104&amp;'AEA2012 update'!$B$6:$B$104,0),MATCH(AH$16,'AEA2012 update'!$S$4:$Z$4,0)))</f>
        <v>1853992.6191889104</v>
      </c>
      <c r="AI100" s="103" cm="1">
        <f t="array" ref="AI100">IF(AB100,INDEX('AEA2012 update'!$K$6:$R$104,MATCH($T100&amp;$R100,'AEA2012 update'!$A$6:$A$104&amp;'AEA2012 update'!$B$6:$B$104,0),MATCH(AI$16,'AEA2012 update'!$S$4:$Z$4,0)),INDEX('AEA2012 update'!$K$6:$R$104,MATCH($T100&amp;$U100,'AEA2012 update'!$A$6:$A$104&amp;'AEA2012 update'!$B$6:$B$104,0),MATCH(AI$16,'AEA2012 update'!$S$4:$Z$4,0)))</f>
        <v>1888886.2058778054</v>
      </c>
      <c r="AJ100" s="103" cm="1">
        <f t="array" ref="AJ100">IF(AC100,INDEX('AEA2012 update'!$K$6:$R$104,MATCH($T100&amp;$R100,'AEA2012 update'!$A$6:$A$104&amp;'AEA2012 update'!$B$6:$B$104,0),MATCH(AJ$16,'AEA2012 update'!$S$4:$Z$4,0)),INDEX('AEA2012 update'!$K$6:$R$104,MATCH($T100&amp;$U100,'AEA2012 update'!$A$6:$A$104&amp;'AEA2012 update'!$B$6:$B$104,0),MATCH(AJ$16,'AEA2012 update'!$S$4:$Z$4,0)))</f>
        <v>1932242.4666352579</v>
      </c>
      <c r="AK100" s="103" t="str">
        <f t="shared" si="26"/>
        <v>CV7ODS</v>
      </c>
      <c r="AL100" s="67">
        <f>1/INDEX(Analytica!$AA$17:$AE$48,MATCH($AK100,Analytica!$A$17:$A$48,0),MATCH(AL$16,Analytica!$AA$16:$AE$16,0))</f>
        <v>14.221141864653497</v>
      </c>
      <c r="AM100" s="67">
        <f t="array" ref="AM100">IF($AE$1,AL100*(1+INDEX(AM$1:AM$2,MATCH($O100,$AI$1:$AI$2,0)))^(AM$16-AL$16),INDEX('AEA2012 update'!$AC$6:$AG$104,MATCH($T100&amp;$U100,'AEA2012 update'!$A$6:$A$104&amp;'AEA2012 update'!$B$6:$B$104,0),MATCH(AM$16,'AEA2012 update'!$AC$4:$AG$4,0)))</f>
        <v>14.178521088263988</v>
      </c>
      <c r="AN100" s="67">
        <f t="array" ref="AN100">IF($AE$1,AM100*(1+INDEX(AN$1:AN$2,MATCH($O100,$AI$1:$AI$2,0)))^(AN$16-AM$16),INDEX('AEA2012 update'!$AC$6:$AG$104,MATCH($T100&amp;$U100,'AEA2012 update'!$A$6:$A$104&amp;'AEA2012 update'!$B$6:$B$104,0),MATCH(AN$16,'AEA2012 update'!$AC$4:$AG$4,0)))</f>
        <v>13.417722572756142</v>
      </c>
      <c r="AO100" s="67">
        <f t="array" ref="AO100">IF($AE$1,AN100*(1+INDEX(AO$1:AO$2,MATCH($O100,$AI$1:$AI$2,0)))^(AO$16-AN$16),INDEX('AEA2012 update'!$AC$6:$AG$104,MATCH($T100&amp;$U100,'AEA2012 update'!$A$6:$A$104&amp;'AEA2012 update'!$B$6:$B$104,0),MATCH(AO$16,'AEA2012 update'!$AC$4:$AG$4,0)))</f>
        <v>12.134747782241671</v>
      </c>
      <c r="AP100" s="67">
        <f t="array" ref="AP100">IF($AE$1,AO100*(1+INDEX(AP$1:AP$2,MATCH($O100,$AI$1:$AI$2,0)))^(AP$16-AO$16),INDEX('AEA2012 update'!$AC$6:$AG$104,MATCH($T100&amp;$U100,'AEA2012 update'!$A$6:$A$104&amp;'AEA2012 update'!$B$6:$B$104,0),MATCH(AP$16,'AEA2012 update'!$AC$4:$AG$4,0)))</f>
        <v>10.974448379012209</v>
      </c>
      <c r="AQ100" s="67"/>
      <c r="AR100" s="274">
        <f t="shared" si="24"/>
        <v>-9.9900033333333717E-4</v>
      </c>
      <c r="AS100" s="274">
        <f t="shared" si="25"/>
        <v>-7.5326913841620427E-3</v>
      </c>
      <c r="AY100" s="61" t="str">
        <f t="shared" si="22"/>
        <v>HCV7-ODS</v>
      </c>
      <c r="AZ100" s="80" t="e" cm="1">
        <f t="array" aca="1" ref="AZ100" ca="1">AL100/INDIRECT("cv."&amp;LEFT($U100,6)&amp;".hhv.MJL") * 100</f>
        <v>#REF!</v>
      </c>
      <c r="BA100" s="80" t="e" cm="1">
        <f t="array" aca="1" ref="BA100" ca="1">AM100/INDIRECT("cv."&amp;LEFT($U100,6)&amp;".hhv.MJL") * 100</f>
        <v>#REF!</v>
      </c>
      <c r="BB100" s="80" t="e" cm="1">
        <f t="array" aca="1" ref="BB100" ca="1">AN100/INDIRECT("cv."&amp;LEFT($U100,6)&amp;".hhv.MJL") * 100</f>
        <v>#REF!</v>
      </c>
      <c r="BC100" s="80" t="e" cm="1">
        <f t="array" aca="1" ref="BC100" ca="1">AO100/INDIRECT("cv."&amp;LEFT($U100,6)&amp;".hhv.MJL") * 100</f>
        <v>#REF!</v>
      </c>
      <c r="BD100" s="80" t="e" cm="1">
        <f t="array" aca="1" ref="BD100" ca="1">AP100/INDIRECT("cv."&amp;LEFT($U100,6)&amp;".hhv.MJL") * 100</f>
        <v>#REF!</v>
      </c>
    </row>
    <row r="101" spans="1:59" ht="16.5" customHeight="1" x14ac:dyDescent="0.25">
      <c r="A101"/>
      <c r="B101" s="67">
        <v>13</v>
      </c>
      <c r="C101">
        <v>37063</v>
      </c>
      <c r="D101" s="67">
        <v>15</v>
      </c>
      <c r="E101">
        <v>46620</v>
      </c>
      <c r="F101"/>
      <c r="G101" s="67">
        <f t="shared" si="27"/>
        <v>0.8666666666666667</v>
      </c>
      <c r="H101" s="67">
        <f t="shared" si="27"/>
        <v>0.79500214500214506</v>
      </c>
      <c r="I101"/>
      <c r="J101" s="63">
        <v>-0.12</v>
      </c>
      <c r="N101" s="61" t="s">
        <v>504</v>
      </c>
      <c r="O101" s="61" t="s">
        <v>653</v>
      </c>
      <c r="P101" s="61" t="s">
        <v>746</v>
      </c>
      <c r="Q101" s="61" t="str">
        <f t="shared" si="23"/>
        <v>CV7</v>
      </c>
      <c r="R101" s="61" t="s">
        <v>687</v>
      </c>
      <c r="S101" s="65"/>
      <c r="T101" s="273" t="s">
        <v>747</v>
      </c>
      <c r="U101" s="957" t="s">
        <v>699</v>
      </c>
      <c r="V101" s="965">
        <v>2050</v>
      </c>
      <c r="W101" s="958">
        <f t="shared" ref="W101:AC110" si="28">IF($V101="",0,IF(W$19&gt;=$V101,1,0))</f>
        <v>0</v>
      </c>
      <c r="X101" s="959">
        <f t="shared" si="28"/>
        <v>0</v>
      </c>
      <c r="Y101" s="959">
        <f t="shared" si="28"/>
        <v>0</v>
      </c>
      <c r="Z101" s="959">
        <f t="shared" si="28"/>
        <v>0</v>
      </c>
      <c r="AA101" s="959">
        <f t="shared" si="28"/>
        <v>0</v>
      </c>
      <c r="AB101" s="959">
        <f t="shared" si="28"/>
        <v>0</v>
      </c>
      <c r="AC101" s="960">
        <f t="shared" si="28"/>
        <v>1</v>
      </c>
      <c r="AD101" s="103" cm="1">
        <f t="array" ref="AD101">IF(W101,INDEX('AEA2012 update'!$K$6:$R$104,MATCH($T101&amp;$R101,'AEA2012 update'!$A$6:$A$104&amp;'AEA2012 update'!$B$6:$B$104,0),MATCH(AD$16,'AEA2012 update'!$S$4:$Z$4,0)),INDEX('AEA2012 update'!$K$6:$R$104,MATCH($T101&amp;$U101,'AEA2012 update'!$A$6:$A$104&amp;'AEA2012 update'!$B$6:$B$104,0),MATCH(AD$16,'AEA2012 update'!$S$4:$Z$4,0)))</f>
        <v>9333066.2203088477</v>
      </c>
      <c r="AE101" s="103" cm="1">
        <f t="array" ref="AE101">IF(X101,INDEX('AEA2012 update'!$K$6:$R$104,MATCH($T101&amp;$R101,'AEA2012 update'!$A$6:$A$104&amp;'AEA2012 update'!$B$6:$B$104,0),MATCH(AE$16,'AEA2012 update'!$S$4:$Z$4,0)),INDEX('AEA2012 update'!$K$6:$R$104,MATCH($T101&amp;$U101,'AEA2012 update'!$A$6:$A$104&amp;'AEA2012 update'!$B$6:$B$104,0),MATCH(AE$16,'AEA2012 update'!$S$4:$Z$4,0)))</f>
        <v>3916456.1540345564</v>
      </c>
      <c r="AF101" s="103" cm="1">
        <f t="array" ref="AF101">IF(Y101,INDEX('AEA2012 update'!$K$6:$R$104,MATCH($T101&amp;$R101,'AEA2012 update'!$A$6:$A$104&amp;'AEA2012 update'!$B$6:$B$104,0),MATCH(AF$16,'AEA2012 update'!$S$4:$Z$4,0)),INDEX('AEA2012 update'!$K$6:$R$104,MATCH($T101&amp;$U101,'AEA2012 update'!$A$6:$A$104&amp;'AEA2012 update'!$B$6:$B$104,0),MATCH(AF$16,'AEA2012 update'!$S$4:$Z$4,0)))</f>
        <v>3067405.1292542205</v>
      </c>
      <c r="AG101" s="103" cm="1">
        <f t="array" ref="AG101">IF(Z101,INDEX('AEA2012 update'!$K$6:$R$104,MATCH($T101&amp;$R101,'AEA2012 update'!$A$6:$A$104&amp;'AEA2012 update'!$B$6:$B$104,0),MATCH(AG$16,'AEA2012 update'!$S$4:$Z$4,0)),INDEX('AEA2012 update'!$K$6:$R$104,MATCH($T101&amp;$U101,'AEA2012 update'!$A$6:$A$104&amp;'AEA2012 update'!$B$6:$B$104,0),MATCH(AG$16,'AEA2012 update'!$S$4:$Z$4,0)))</f>
        <v>2218354.1044738842</v>
      </c>
      <c r="AH101" s="103" cm="1">
        <f t="array" ref="AH101">IF(AA101,INDEX('AEA2012 update'!$K$6:$R$104,MATCH($T101&amp;$R101,'AEA2012 update'!$A$6:$A$104&amp;'AEA2012 update'!$B$6:$B$104,0),MATCH(AH$16,'AEA2012 update'!$S$4:$Z$4,0)),INDEX('AEA2012 update'!$K$6:$R$104,MATCH($T101&amp;$U101,'AEA2012 update'!$A$6:$A$104&amp;'AEA2012 update'!$B$6:$B$104,0),MATCH(AH$16,'AEA2012 update'!$S$4:$Z$4,0)))</f>
        <v>2106680.0881784153</v>
      </c>
      <c r="AI101" s="103" cm="1">
        <f t="array" ref="AI101">IF(AB101,INDEX('AEA2012 update'!$K$6:$R$104,MATCH($T101&amp;$R101,'AEA2012 update'!$A$6:$A$104&amp;'AEA2012 update'!$B$6:$B$104,0),MATCH(AI$16,'AEA2012 update'!$S$4:$Z$4,0)),INDEX('AEA2012 update'!$K$6:$R$104,MATCH($T101&amp;$U101,'AEA2012 update'!$A$6:$A$104&amp;'AEA2012 update'!$B$6:$B$104,0),MATCH(AI$16,'AEA2012 update'!$S$4:$Z$4,0)))</f>
        <v>1995006.0718829464</v>
      </c>
      <c r="AJ101" s="103" cm="1">
        <f t="array" ref="AJ101">IF(AC101,INDEX('AEA2012 update'!$K$6:$R$104,MATCH($T101&amp;$R101,'AEA2012 update'!$A$6:$A$104&amp;'AEA2012 update'!$B$6:$B$104,0),MATCH(AJ$16,'AEA2012 update'!$S$4:$Z$4,0)),INDEX('AEA2012 update'!$K$6:$R$104,MATCH($T101&amp;$U101,'AEA2012 update'!$A$6:$A$104&amp;'AEA2012 update'!$B$6:$B$104,0),MATCH(AJ$16,'AEA2012 update'!$S$4:$Z$4,0)))</f>
        <v>1932242.4666352579</v>
      </c>
      <c r="AK101" s="103" t="str">
        <f t="shared" si="26"/>
        <v>CV7HGN</v>
      </c>
      <c r="AL101" s="67">
        <f>INDEX('Vehicle data '!$AD$20:$AD$110,MATCH($AK101,'Vehicle data '!$AC$20:$AC$110,0))/INDEX('Vehicle data '!$AD$20:$AD$110,MATCH($AK$100,'Vehicle data '!$AC$20:$AC$110,0))*AL$100</f>
        <v>6.7545932970199489</v>
      </c>
      <c r="AM101" s="67">
        <f t="array" ref="AM101">IF($AE$1,AL101*(1+INDEX(AM$1:AM$2,MATCH($O101,$AI$1:$AI$2,0)))^(AM$16-AL$16),INDEX('AEA2012 update'!$AC$6:$AG$104,MATCH($T101&amp;$U101,'AEA2012 update'!$A$6:$A$104&amp;'AEA2012 update'!$B$6:$B$104,0),MATCH(AM$16,'AEA2012 update'!$AC$4:$AG$4,0)))</f>
        <v>6.7343497741541869</v>
      </c>
      <c r="AN101" s="67">
        <f t="array" ref="AN101">IF($AE$1,AM101*(1+INDEX(AN$1:AN$2,MATCH($O101,$AI$1:$AI$2,0)))^(AN$16-AM$16),INDEX('AEA2012 update'!$AC$6:$AG$104,MATCH($T101&amp;$U101,'AEA2012 update'!$A$6:$A$104&amp;'AEA2012 update'!$B$6:$B$104,0),MATCH(AN$16,'AEA2012 update'!$AC$4:$AG$4,0)))</f>
        <v>6.3729945045042395</v>
      </c>
      <c r="AO101" s="67">
        <f t="array" ref="AO101">IF($AE$1,AN101*(1+INDEX(AO$1:AO$2,MATCH($O101,$AI$1:$AI$2,0)))^(AO$16-AN$16),INDEX('AEA2012 update'!$AC$6:$AG$104,MATCH($T101&amp;$U101,'AEA2012 update'!$A$6:$A$104&amp;'AEA2012 update'!$B$6:$B$104,0),MATCH(AO$16,'AEA2012 update'!$AC$4:$AG$4,0)))</f>
        <v>5.7636219940032509</v>
      </c>
      <c r="AP101" s="67">
        <f t="array" ref="AP101">IF($AE$1,AO101*(1+INDEX(AP$1:AP$2,MATCH($O101,$AI$1:$AI$2,0)))^(AP$16-AO$16),INDEX('AEA2012 update'!$AC$6:$AG$104,MATCH($T101&amp;$U101,'AEA2012 update'!$A$6:$A$104&amp;'AEA2012 update'!$B$6:$B$104,0),MATCH(AP$16,'AEA2012 update'!$AC$4:$AG$4,0)))</f>
        <v>5.2125164185030419</v>
      </c>
      <c r="AQ101" s="67"/>
      <c r="AR101" s="274">
        <f t="shared" si="24"/>
        <v>-9.9900033333333066E-4</v>
      </c>
      <c r="AS101" s="274">
        <f t="shared" si="25"/>
        <v>-7.5326913841620418E-3</v>
      </c>
      <c r="AY101" s="61" t="str">
        <f t="shared" si="22"/>
        <v>HCV7-HGN</v>
      </c>
      <c r="AZ101" s="80" t="e" cm="1">
        <f t="array" aca="1" ref="AZ101" ca="1">AL101/INDIRECT("cv."&amp;LEFT($U101,6)&amp;".hhv.MJL") * 100</f>
        <v>#REF!</v>
      </c>
      <c r="BA101" s="80" t="e" cm="1">
        <f t="array" aca="1" ref="BA101" ca="1">AM101/INDIRECT("cv."&amp;LEFT($U101,6)&amp;".hhv.MJL") * 100</f>
        <v>#REF!</v>
      </c>
      <c r="BB101" s="80" t="e" cm="1">
        <f t="array" aca="1" ref="BB101" ca="1">AN101/INDIRECT("cv."&amp;LEFT($U101,6)&amp;".hhv.MJL") * 100</f>
        <v>#REF!</v>
      </c>
      <c r="BC101" s="80" t="e" cm="1">
        <f t="array" aca="1" ref="BC101" ca="1">AO101/INDIRECT("cv."&amp;LEFT($U101,6)&amp;".hhv.MJL") * 100</f>
        <v>#REF!</v>
      </c>
      <c r="BD101" s="80" t="e" cm="1">
        <f t="array" aca="1" ref="BD101" ca="1">AP101/INDIRECT("cv."&amp;LEFT($U101,6)&amp;".hhv.MJL") * 100</f>
        <v>#REF!</v>
      </c>
    </row>
    <row r="102" spans="1:59"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23"/>
        <v>CV7</v>
      </c>
      <c r="R102" s="61" t="s">
        <v>687</v>
      </c>
      <c r="S102" s="65"/>
      <c r="T102" s="273" t="s">
        <v>747</v>
      </c>
      <c r="U102" s="957" t="s">
        <v>700</v>
      </c>
      <c r="V102" s="965"/>
      <c r="W102" s="958">
        <f t="shared" si="28"/>
        <v>0</v>
      </c>
      <c r="X102" s="959">
        <f t="shared" si="28"/>
        <v>0</v>
      </c>
      <c r="Y102" s="959">
        <f t="shared" si="28"/>
        <v>0</v>
      </c>
      <c r="Z102" s="959">
        <f t="shared" si="28"/>
        <v>0</v>
      </c>
      <c r="AA102" s="959">
        <f t="shared" si="28"/>
        <v>0</v>
      </c>
      <c r="AB102" s="959">
        <f t="shared" si="28"/>
        <v>0</v>
      </c>
      <c r="AC102" s="960">
        <f t="shared" si="28"/>
        <v>0</v>
      </c>
      <c r="AD102" s="103" cm="1">
        <f t="array" ref="AD102">IF(W102,INDEX('AEA2012 update'!$K$6:$R$104,MATCH($T102&amp;$R102,'AEA2012 update'!$A$6:$A$104&amp;'AEA2012 update'!$B$6:$B$104,0),MATCH(AD$16,'AEA2012 update'!$S$4:$Z$4,0)),INDEX('AEA2012 update'!$K$6:$R$104,MATCH($T102&amp;$U102,'AEA2012 update'!$A$6:$A$104&amp;'AEA2012 update'!$B$6:$B$104,0),MATCH(AD$16,'AEA2012 update'!$S$4:$Z$4,0)))</f>
        <v>1933800.165050887</v>
      </c>
      <c r="AE102" s="103" cm="1">
        <f t="array" ref="AE102">IF(X102,INDEX('AEA2012 update'!$K$6:$R$104,MATCH($T102&amp;$R102,'AEA2012 update'!$A$6:$A$104&amp;'AEA2012 update'!$B$6:$B$104,0),MATCH(AE$16,'AEA2012 update'!$S$4:$Z$4,0)),INDEX('AEA2012 update'!$K$6:$R$104,MATCH($T102&amp;$U102,'AEA2012 update'!$A$6:$A$104&amp;'AEA2012 update'!$B$6:$B$104,0),MATCH(AE$16,'AEA2012 update'!$S$4:$Z$4,0)))</f>
        <v>2005955.6428487513</v>
      </c>
      <c r="AF102" s="103" cm="1">
        <f t="array" ref="AF102">IF(Y102,INDEX('AEA2012 update'!$K$6:$R$104,MATCH($T102&amp;$R102,'AEA2012 update'!$A$6:$A$104&amp;'AEA2012 update'!$B$6:$B$104,0),MATCH(AF$16,'AEA2012 update'!$S$4:$Z$4,0)),INDEX('AEA2012 update'!$K$6:$R$104,MATCH($T102&amp;$U102,'AEA2012 update'!$A$6:$A$104&amp;'AEA2012 update'!$B$6:$B$104,0),MATCH(AF$16,'AEA2012 update'!$S$4:$Z$4,0)))</f>
        <v>2000166.9362324402</v>
      </c>
      <c r="AG102" s="103" cm="1">
        <f t="array" ref="AG102">IF(Z102,INDEX('AEA2012 update'!$K$6:$R$104,MATCH($T102&amp;$R102,'AEA2012 update'!$A$6:$A$104&amp;'AEA2012 update'!$B$6:$B$104,0),MATCH(AG$16,'AEA2012 update'!$S$4:$Z$4,0)),INDEX('AEA2012 update'!$K$6:$R$104,MATCH($T102&amp;$U102,'AEA2012 update'!$A$6:$A$104&amp;'AEA2012 update'!$B$6:$B$104,0),MATCH(AG$16,'AEA2012 update'!$S$4:$Z$4,0)))</f>
        <v>1994378.2296161293</v>
      </c>
      <c r="AH102" s="103" cm="1">
        <f t="array" ref="AH102">IF(AA102,INDEX('AEA2012 update'!$K$6:$R$104,MATCH($T102&amp;$R102,'AEA2012 update'!$A$6:$A$104&amp;'AEA2012 update'!$B$6:$B$104,0),MATCH(AH$16,'AEA2012 update'!$S$4:$Z$4,0)),INDEX('AEA2012 update'!$K$6:$R$104,MATCH($T102&amp;$U102,'AEA2012 update'!$A$6:$A$104&amp;'AEA2012 update'!$B$6:$B$104,0),MATCH(AH$16,'AEA2012 update'!$S$4:$Z$4,0)))</f>
        <v>2009358.1927547844</v>
      </c>
      <c r="AI102" s="103" cm="1">
        <f t="array" ref="AI102">IF(AB102,INDEX('AEA2012 update'!$K$6:$R$104,MATCH($T102&amp;$R102,'AEA2012 update'!$A$6:$A$104&amp;'AEA2012 update'!$B$6:$B$104,0),MATCH(AI$16,'AEA2012 update'!$S$4:$Z$4,0)),INDEX('AEA2012 update'!$K$6:$R$104,MATCH($T102&amp;$U102,'AEA2012 update'!$A$6:$A$104&amp;'AEA2012 update'!$B$6:$B$104,0),MATCH(AI$16,'AEA2012 update'!$S$4:$Z$4,0)))</f>
        <v>2024338.1558934394</v>
      </c>
      <c r="AJ102" s="103" cm="1">
        <f t="array" ref="AJ102">IF(AC102,INDEX('AEA2012 update'!$K$6:$R$104,MATCH($T102&amp;$R102,'AEA2012 update'!$A$6:$A$104&amp;'AEA2012 update'!$B$6:$B$104,0),MATCH(AJ$16,'AEA2012 update'!$S$4:$Z$4,0)),INDEX('AEA2012 update'!$K$6:$R$104,MATCH($T102&amp;$U102,'AEA2012 update'!$A$6:$A$104&amp;'AEA2012 update'!$B$6:$B$104,0),MATCH(AJ$16,'AEA2012 update'!$S$4:$Z$4,0)))</f>
        <v>2041960.5056875255</v>
      </c>
      <c r="AK102" s="103" t="str">
        <f t="shared" si="26"/>
        <v>CV7GAS</v>
      </c>
      <c r="AL102" s="67">
        <f>INDEX('Vehicle data '!$AD$20:$AD$110,MATCH($AK102,'Vehicle data '!$AC$20:$AC$110,0))/INDEX('Vehicle data '!$AD$20:$AD$110,MATCH($AK$100,'Vehicle data '!$AC$20:$AC$110,0))*AL$100</f>
        <v>16.354313144351519</v>
      </c>
      <c r="AM102" s="67">
        <f t="array" ref="AM102">IF($AE$1,AL102*(1+INDEX(AM$1:AM$2,MATCH($O102,$AI$1:$AI$2,0)))^(AM$16-AL$16),INDEX('AEA2012 update'!$AC$6:$AG$104,MATCH($T102&amp;$U102,'AEA2012 update'!$A$6:$A$104&amp;'AEA2012 update'!$B$6:$B$104,0),MATCH(AM$16,'AEA2012 update'!$AC$4:$AG$4,0)))</f>
        <v>16.305299251503584</v>
      </c>
      <c r="AN102" s="67">
        <f t="array" ref="AN102">IF($AE$1,AM102*(1+INDEX(AN$1:AN$2,MATCH($O102,$AI$1:$AI$2,0)))^(AN$16-AM$16),INDEX('AEA2012 update'!$AC$6:$AG$104,MATCH($T102&amp;$U102,'AEA2012 update'!$A$6:$A$104&amp;'AEA2012 update'!$B$6:$B$104,0),MATCH(AN$16,'AEA2012 update'!$AC$4:$AG$4,0)))</f>
        <v>15.430380958669563</v>
      </c>
      <c r="AO102" s="67">
        <f t="array" ref="AO102">IF($AE$1,AN102*(1+INDEX(AO$1:AO$2,MATCH($O102,$AI$1:$AI$2,0)))^(AO$16-AN$16),INDEX('AEA2012 update'!$AC$6:$AG$104,MATCH($T102&amp;$U102,'AEA2012 update'!$A$6:$A$104&amp;'AEA2012 update'!$B$6:$B$104,0),MATCH(AO$16,'AEA2012 update'!$AC$4:$AG$4,0)))</f>
        <v>13.954959949577923</v>
      </c>
      <c r="AP102" s="67">
        <f t="array" ref="AP102">IF($AE$1,AO102*(1+INDEX(AP$1:AP$2,MATCH($O102,$AI$1:$AI$2,0)))^(AP$16-AO$16),INDEX('AEA2012 update'!$AC$6:$AG$104,MATCH($T102&amp;$U102,'AEA2012 update'!$A$6:$A$104&amp;'AEA2012 update'!$B$6:$B$104,0),MATCH(AP$16,'AEA2012 update'!$AC$4:$AG$4,0)))</f>
        <v>12.620615635864041</v>
      </c>
      <c r="AQ102" s="67"/>
      <c r="AR102" s="274">
        <f t="shared" si="24"/>
        <v>-9.9900033333333391E-4</v>
      </c>
      <c r="AS102" s="274">
        <f t="shared" si="25"/>
        <v>-7.5326913841620366E-3</v>
      </c>
      <c r="AY102" s="61" t="str">
        <f t="shared" si="22"/>
        <v>HCV7-GAS</v>
      </c>
      <c r="AZ102" s="80" t="e" cm="1">
        <f t="array" aca="1" ref="AZ102" ca="1">AL102/INDIRECT("cv."&amp;LEFT($U102,6)&amp;".hhv.MJL") * 100</f>
        <v>#REF!</v>
      </c>
      <c r="BA102" s="80" t="e" cm="1">
        <f t="array" aca="1" ref="BA102" ca="1">AM102/INDIRECT("cv."&amp;LEFT($U102,6)&amp;".hhv.MJL") * 100</f>
        <v>#REF!</v>
      </c>
      <c r="BB102" s="80" t="e" cm="1">
        <f t="array" aca="1" ref="BB102" ca="1">AN102/INDIRECT("cv."&amp;LEFT($U102,6)&amp;".hhv.MJL") * 100</f>
        <v>#REF!</v>
      </c>
      <c r="BC102" s="80" t="e" cm="1">
        <f t="array" aca="1" ref="BC102" ca="1">AO102/INDIRECT("cv."&amp;LEFT($U102,6)&amp;".hhv.MJL") * 100</f>
        <v>#REF!</v>
      </c>
      <c r="BD102" s="80" t="e" cm="1">
        <f t="array" aca="1" ref="BD102" ca="1">AP102/INDIRECT("cv."&amp;LEFT($U102,6)&amp;".hhv.MJL") * 100</f>
        <v>#REF!</v>
      </c>
    </row>
    <row r="103" spans="1:59" x14ac:dyDescent="0.25">
      <c r="A103" t="s">
        <v>748</v>
      </c>
      <c r="B103"/>
      <c r="C103"/>
      <c r="D103"/>
      <c r="E103"/>
      <c r="F103"/>
      <c r="G103"/>
      <c r="H103"/>
      <c r="I103"/>
      <c r="J103"/>
      <c r="O103" s="61" t="s">
        <v>653</v>
      </c>
      <c r="Q103" s="61" t="str">
        <f t="shared" si="23"/>
        <v/>
      </c>
      <c r="S103" s="65"/>
      <c r="T103" s="273"/>
      <c r="V103" s="965"/>
      <c r="W103" s="961">
        <f t="shared" si="28"/>
        <v>0</v>
      </c>
      <c r="X103" s="962">
        <f t="shared" si="28"/>
        <v>0</v>
      </c>
      <c r="Y103" s="962">
        <f t="shared" si="28"/>
        <v>0</v>
      </c>
      <c r="Z103" s="962">
        <f t="shared" si="28"/>
        <v>0</v>
      </c>
      <c r="AA103" s="962">
        <f t="shared" si="28"/>
        <v>0</v>
      </c>
      <c r="AB103" s="962">
        <f t="shared" si="28"/>
        <v>0</v>
      </c>
      <c r="AC103" s="963">
        <f t="shared" si="28"/>
        <v>0</v>
      </c>
      <c r="AD103" s="103" t="e" cm="1">
        <f t="array" ref="AD103">IF(W103,INDEX('AEA2012 update'!$K$6:$R$104,MATCH($T103&amp;$R103,'AEA2012 update'!$A$6:$A$104&amp;'AEA2012 update'!$B$6:$B$104,0),MATCH(AD$16,'AEA2012 update'!$S$4:$Z$4,0)),INDEX('AEA2012 update'!$K$6:$R$104,MATCH($T103&amp;$U103,'AEA2012 update'!$A$6:$A$104&amp;'AEA2012 update'!$B$6:$B$104,0),MATCH(AD$16,'AEA2012 update'!$S$4:$Z$4,0)))</f>
        <v>#N/A</v>
      </c>
      <c r="AE103" s="103" t="e" cm="1">
        <f t="array" ref="AE103">IF(X103,INDEX('AEA2012 update'!$K$6:$R$104,MATCH($T103&amp;$R103,'AEA2012 update'!$A$6:$A$104&amp;'AEA2012 update'!$B$6:$B$104,0),MATCH(AE$16,'AEA2012 update'!$S$4:$Z$4,0)),INDEX('AEA2012 update'!$K$6:$R$104,MATCH($T103&amp;$U103,'AEA2012 update'!$A$6:$A$104&amp;'AEA2012 update'!$B$6:$B$104,0),MATCH(AE$16,'AEA2012 update'!$S$4:$Z$4,0)))</f>
        <v>#N/A</v>
      </c>
      <c r="AF103" s="103" t="e" cm="1">
        <f t="array" ref="AF103">IF(Y103,INDEX('AEA2012 update'!$K$6:$R$104,MATCH($T103&amp;$R103,'AEA2012 update'!$A$6:$A$104&amp;'AEA2012 update'!$B$6:$B$104,0),MATCH(AF$16,'AEA2012 update'!$S$4:$Z$4,0)),INDEX('AEA2012 update'!$K$6:$R$104,MATCH($T103&amp;$U103,'AEA2012 update'!$A$6:$A$104&amp;'AEA2012 update'!$B$6:$B$104,0),MATCH(AF$16,'AEA2012 update'!$S$4:$Z$4,0)))</f>
        <v>#N/A</v>
      </c>
      <c r="AG103" s="103" t="e" cm="1">
        <f t="array" ref="AG103">IF(Z103,INDEX('AEA2012 update'!$K$6:$R$104,MATCH($T103&amp;$R103,'AEA2012 update'!$A$6:$A$104&amp;'AEA2012 update'!$B$6:$B$104,0),MATCH(AG$16,'AEA2012 update'!$S$4:$Z$4,0)),INDEX('AEA2012 update'!$K$6:$R$104,MATCH($T103&amp;$U103,'AEA2012 update'!$A$6:$A$104&amp;'AEA2012 update'!$B$6:$B$104,0),MATCH(AG$16,'AEA2012 update'!$S$4:$Z$4,0)))</f>
        <v>#N/A</v>
      </c>
      <c r="AH103" s="103" t="e" cm="1">
        <f t="array" ref="AH103">IF(AA103,INDEX('AEA2012 update'!$K$6:$R$104,MATCH($T103&amp;$R103,'AEA2012 update'!$A$6:$A$104&amp;'AEA2012 update'!$B$6:$B$104,0),MATCH(AH$16,'AEA2012 update'!$S$4:$Z$4,0)),INDEX('AEA2012 update'!$K$6:$R$104,MATCH($T103&amp;$U103,'AEA2012 update'!$A$6:$A$104&amp;'AEA2012 update'!$B$6:$B$104,0),MATCH(AH$16,'AEA2012 update'!$S$4:$Z$4,0)))</f>
        <v>#N/A</v>
      </c>
      <c r="AI103" s="103" t="e" cm="1">
        <f t="array" ref="AI103">IF(AB103,INDEX('AEA2012 update'!$K$6:$R$104,MATCH($T103&amp;$R103,'AEA2012 update'!$A$6:$A$104&amp;'AEA2012 update'!$B$6:$B$104,0),MATCH(AI$16,'AEA2012 update'!$S$4:$Z$4,0)),INDEX('AEA2012 update'!$K$6:$R$104,MATCH($T103&amp;$U103,'AEA2012 update'!$A$6:$A$104&amp;'AEA2012 update'!$B$6:$B$104,0),MATCH(AI$16,'AEA2012 update'!$S$4:$Z$4,0)))</f>
        <v>#N/A</v>
      </c>
      <c r="AJ103" s="103" t="e" cm="1">
        <f t="array" ref="AJ103">IF(AC103,INDEX('AEA2012 update'!$K$6:$R$104,MATCH($T103&amp;$R103,'AEA2012 update'!$A$6:$A$104&amp;'AEA2012 update'!$B$6:$B$104,0),MATCH(AJ$16,'AEA2012 update'!$S$4:$Z$4,0)),INDEX('AEA2012 update'!$K$6:$R$104,MATCH($T103&amp;$U103,'AEA2012 update'!$A$6:$A$104&amp;'AEA2012 update'!$B$6:$B$104,0),MATCH(AJ$16,'AEA2012 update'!$S$4:$Z$4,0)))</f>
        <v>#N/A</v>
      </c>
      <c r="AK103" s="103" t="str">
        <f t="shared" si="26"/>
        <v/>
      </c>
      <c r="AL103" s="67" t="e">
        <f>INDEX('Vehicle data '!$AD$20:$AD$110,MATCH($AK103,'Vehicle data '!$AC$20:$AC$110,0))/INDEX('Vehicle data '!$AD$20:$AD$110,MATCH($AK$100,'Vehicle data '!$AC$20:$AC$110,0))*AL$100</f>
        <v>#N/A</v>
      </c>
      <c r="AM103" s="67" t="e">
        <f t="array" ref="AM103">IF($AE$1,AL103*(1+INDEX(AM$1:AM$2,MATCH($O103,$AI$1:$AI$2,0)))^(AM$16-AL$16),INDEX('AEA2012 update'!$AC$6:$AG$104,MATCH($T103&amp;$U103,'AEA2012 update'!$A$6:$A$104&amp;'AEA2012 update'!$B$6:$B$104,0),MATCH(AM$16,'AEA2012 update'!$AC$4:$AG$4,0)))</f>
        <v>#N/A</v>
      </c>
      <c r="AN103" s="67" t="e">
        <f t="array" ref="AN103">IF($AE$1,AM103*(1+INDEX(AN$1:AN$2,MATCH($O103,$AI$1:$AI$2,0)))^(AN$16-AM$16),INDEX('AEA2012 update'!$AC$6:$AG$104,MATCH($T103&amp;$U103,'AEA2012 update'!$A$6:$A$104&amp;'AEA2012 update'!$B$6:$B$104,0),MATCH(AN$16,'AEA2012 update'!$AC$4:$AG$4,0)))</f>
        <v>#N/A</v>
      </c>
      <c r="AO103" s="67" t="e">
        <f t="array" ref="AO103">IF($AE$1,AN103*(1+INDEX(AO$1:AO$2,MATCH($O103,$AI$1:$AI$2,0)))^(AO$16-AN$16),INDEX('AEA2012 update'!$AC$6:$AG$104,MATCH($T103&amp;$U103,'AEA2012 update'!$A$6:$A$104&amp;'AEA2012 update'!$B$6:$B$104,0),MATCH(AO$16,'AEA2012 update'!$AC$4:$AG$4,0)))</f>
        <v>#N/A</v>
      </c>
      <c r="AP103" s="67" t="e">
        <f t="array" ref="AP103">IF($AE$1,AO103*(1+INDEX(AP$1:AP$2,MATCH($O103,$AI$1:$AI$2,0)))^(AP$16-AO$16),INDEX('AEA2012 update'!$AC$6:$AG$104,MATCH($T103&amp;$U103,'AEA2012 update'!$A$6:$A$104&amp;'AEA2012 update'!$B$6:$B$104,0),MATCH(AP$16,'AEA2012 update'!$AC$4:$AG$4,0)))</f>
        <v>#N/A</v>
      </c>
      <c r="AQ103" s="67"/>
      <c r="AR103" s="274" t="e">
        <f t="shared" si="24"/>
        <v>#N/A</v>
      </c>
      <c r="AS103" s="274" t="e">
        <f t="shared" si="25"/>
        <v>#N/A</v>
      </c>
      <c r="AY103" s="61" t="str">
        <f t="shared" si="22"/>
        <v>-</v>
      </c>
      <c r="AZ103" s="80" t="e" cm="1">
        <f t="array" aca="1" ref="AZ103" ca="1">AL103/INDIRECT("cv."&amp;LEFT($U103,6)&amp;".hhv.MJL") * 100</f>
        <v>#N/A</v>
      </c>
      <c r="BA103" s="80" t="e" cm="1">
        <f t="array" aca="1" ref="BA103" ca="1">AM103/INDIRECT("cv."&amp;LEFT($U103,6)&amp;".hhv.MJL") * 100</f>
        <v>#N/A</v>
      </c>
      <c r="BB103" s="80" t="e" cm="1">
        <f t="array" aca="1" ref="BB103" ca="1">AN103/INDIRECT("cv."&amp;LEFT($U103,6)&amp;".hhv.MJL") * 100</f>
        <v>#N/A</v>
      </c>
      <c r="BC103" s="80" t="e" cm="1">
        <f t="array" aca="1" ref="BC103" ca="1">AO103/INDIRECT("cv."&amp;LEFT($U103,6)&amp;".hhv.MJL") * 100</f>
        <v>#N/A</v>
      </c>
      <c r="BD103" s="80" t="e" cm="1">
        <f t="array" aca="1" ref="BD103" ca="1">AP103/INDIRECT("cv."&amp;LEFT($U103,6)&amp;".hhv.MJL") * 100</f>
        <v>#N/A</v>
      </c>
    </row>
    <row r="104" spans="1:59" x14ac:dyDescent="0.25">
      <c r="A104" t="s">
        <v>749</v>
      </c>
      <c r="B104"/>
      <c r="C104"/>
      <c r="D104"/>
      <c r="E104"/>
      <c r="F104"/>
      <c r="G104"/>
      <c r="H104"/>
      <c r="I104"/>
      <c r="J104"/>
      <c r="N104" s="61" t="s">
        <v>511</v>
      </c>
      <c r="O104" s="61" t="s">
        <v>653</v>
      </c>
      <c r="P104" s="61" t="s">
        <v>750</v>
      </c>
      <c r="Q104" s="61" t="str">
        <f t="shared" si="23"/>
        <v>CV8</v>
      </c>
      <c r="R104" s="61" t="s">
        <v>687</v>
      </c>
      <c r="S104" s="65"/>
      <c r="T104" s="273" t="s">
        <v>747</v>
      </c>
      <c r="U104" s="957" t="s">
        <v>687</v>
      </c>
      <c r="V104" s="965"/>
      <c r="W104" s="958">
        <f t="shared" si="28"/>
        <v>0</v>
      </c>
      <c r="X104" s="959">
        <f t="shared" si="28"/>
        <v>0</v>
      </c>
      <c r="Y104" s="959">
        <f t="shared" si="28"/>
        <v>0</v>
      </c>
      <c r="Z104" s="959">
        <f t="shared" si="28"/>
        <v>0</v>
      </c>
      <c r="AA104" s="959">
        <f t="shared" si="28"/>
        <v>0</v>
      </c>
      <c r="AB104" s="959">
        <f t="shared" si="28"/>
        <v>0</v>
      </c>
      <c r="AC104" s="960">
        <f t="shared" si="28"/>
        <v>0</v>
      </c>
      <c r="AD104" s="103" cm="1">
        <f t="array" ref="AD104">IF(W104,INDEX('AEA2012 update'!$K$6:$R$104,MATCH($T104&amp;$R104,'AEA2012 update'!$A$6:$A$104&amp;'AEA2012 update'!$B$6:$B$104,0),MATCH(AD$16,'AEA2012 update'!$S$4:$Z$4,0)),INDEX('AEA2012 update'!$K$6:$R$104,MATCH($T104&amp;$U104,'AEA2012 update'!$A$6:$A$104&amp;'AEA2012 update'!$B$6:$B$104,0),MATCH(AD$16,'AEA2012 update'!$S$4:$Z$4,0)))</f>
        <v>1394803.006015125</v>
      </c>
      <c r="AE104" s="103" cm="1">
        <f t="array" ref="AE104">IF(X104,INDEX('AEA2012 update'!$K$6:$R$104,MATCH($T104&amp;$R104,'AEA2012 update'!$A$6:$A$104&amp;'AEA2012 update'!$B$6:$B$104,0),MATCH(AE$16,'AEA2012 update'!$S$4:$Z$4,0)),INDEX('AEA2012 update'!$K$6:$R$104,MATCH($T104&amp;$U104,'AEA2012 update'!$A$6:$A$104&amp;'AEA2012 update'!$B$6:$B$104,0),MATCH(AE$16,'AEA2012 update'!$S$4:$Z$4,0)))</f>
        <v>1729683.6457722846</v>
      </c>
      <c r="AF104" s="103" cm="1">
        <f t="array" ref="AF104">IF(Y104,INDEX('AEA2012 update'!$K$6:$R$104,MATCH($T104&amp;$R104,'AEA2012 update'!$A$6:$A$104&amp;'AEA2012 update'!$B$6:$B$104,0),MATCH(AF$16,'AEA2012 update'!$S$4:$Z$4,0)),INDEX('AEA2012 update'!$K$6:$R$104,MATCH($T104&amp;$U104,'AEA2012 update'!$A$6:$A$104&amp;'AEA2012 update'!$B$6:$B$104,0),MATCH(AF$16,'AEA2012 update'!$S$4:$Z$4,0)))</f>
        <v>1774391.33913615</v>
      </c>
      <c r="AG104" s="103" cm="1">
        <f t="array" ref="AG104">IF(Z104,INDEX('AEA2012 update'!$K$6:$R$104,MATCH($T104&amp;$R104,'AEA2012 update'!$A$6:$A$104&amp;'AEA2012 update'!$B$6:$B$104,0),MATCH(AG$16,'AEA2012 update'!$S$4:$Z$4,0)),INDEX('AEA2012 update'!$K$6:$R$104,MATCH($T104&amp;$U104,'AEA2012 update'!$A$6:$A$104&amp;'AEA2012 update'!$B$6:$B$104,0),MATCH(AG$16,'AEA2012 update'!$S$4:$Z$4,0)))</f>
        <v>1819099.0325000153</v>
      </c>
      <c r="AH104" s="103" cm="1">
        <f t="array" ref="AH104">IF(AA104,INDEX('AEA2012 update'!$K$6:$R$104,MATCH($T104&amp;$R104,'AEA2012 update'!$A$6:$A$104&amp;'AEA2012 update'!$B$6:$B$104,0),MATCH(AH$16,'AEA2012 update'!$S$4:$Z$4,0)),INDEX('AEA2012 update'!$K$6:$R$104,MATCH($T104&amp;$U104,'AEA2012 update'!$A$6:$A$104&amp;'AEA2012 update'!$B$6:$B$104,0),MATCH(AH$16,'AEA2012 update'!$S$4:$Z$4,0)))</f>
        <v>1853992.6191889104</v>
      </c>
      <c r="AI104" s="103" cm="1">
        <f t="array" ref="AI104">IF(AB104,INDEX('AEA2012 update'!$K$6:$R$104,MATCH($T104&amp;$R104,'AEA2012 update'!$A$6:$A$104&amp;'AEA2012 update'!$B$6:$B$104,0),MATCH(AI$16,'AEA2012 update'!$S$4:$Z$4,0)),INDEX('AEA2012 update'!$K$6:$R$104,MATCH($T104&amp;$U104,'AEA2012 update'!$A$6:$A$104&amp;'AEA2012 update'!$B$6:$B$104,0),MATCH(AI$16,'AEA2012 update'!$S$4:$Z$4,0)))</f>
        <v>1888886.2058778054</v>
      </c>
      <c r="AJ104" s="103" cm="1">
        <f t="array" ref="AJ104">IF(AC104,INDEX('AEA2012 update'!$K$6:$R$104,MATCH($T104&amp;$R104,'AEA2012 update'!$A$6:$A$104&amp;'AEA2012 update'!$B$6:$B$104,0),MATCH(AJ$16,'AEA2012 update'!$S$4:$Z$4,0)),INDEX('AEA2012 update'!$K$6:$R$104,MATCH($T104&amp;$U104,'AEA2012 update'!$A$6:$A$104&amp;'AEA2012 update'!$B$6:$B$104,0),MATCH(AJ$16,'AEA2012 update'!$S$4:$Z$4,0)))</f>
        <v>1932242.4666352579</v>
      </c>
      <c r="AK104" s="103" t="str">
        <f t="shared" si="26"/>
        <v>CV8ODS</v>
      </c>
      <c r="AL104" s="67">
        <f>1/INDEX(Analytica!$AA$17:$AE$48,MATCH($AK104,Analytica!$A$17:$A$48,0),MATCH(AL$16,Analytica!$AA$16:$AE$16,0))</f>
        <v>14.452202013338351</v>
      </c>
      <c r="AM104" s="67">
        <f t="array" ref="AM104">IF($AE$1,AL104*(1+INDEX(AM$1:AM$2,MATCH($O104,$AI$1:$AI$2,0)))^(AM$16-AL$16),INDEX('AEA2012 update'!$AC$6:$AG$104,MATCH($T104&amp;$U104,'AEA2012 update'!$A$6:$A$104&amp;'AEA2012 update'!$B$6:$B$104,0),MATCH(AM$16,'AEA2012 update'!$AC$4:$AG$4,0)))</f>
        <v>14.408888749452174</v>
      </c>
      <c r="AN104" s="67">
        <f t="array" ref="AN104">IF($AE$1,AM104*(1+INDEX(AN$1:AN$2,MATCH($O104,$AI$1:$AI$2,0)))^(AN$16-AM$16),INDEX('AEA2012 update'!$AC$6:$AG$104,MATCH($T104&amp;$U104,'AEA2012 update'!$A$6:$A$104&amp;'AEA2012 update'!$B$6:$B$104,0),MATCH(AN$16,'AEA2012 update'!$AC$4:$AG$4,0)))</f>
        <v>13.63572904524475</v>
      </c>
      <c r="AO104" s="67">
        <f t="array" ref="AO104">IF($AE$1,AN104*(1+INDEX(AO$1:AO$2,MATCH($O104,$AI$1:$AI$2,0)))^(AO$16-AN$16),INDEX('AEA2012 update'!$AC$6:$AG$104,MATCH($T104&amp;$U104,'AEA2012 update'!$A$6:$A$104&amp;'AEA2012 update'!$B$6:$B$104,0),MATCH(AO$16,'AEA2012 update'!$AC$4:$AG$4,0)))</f>
        <v>12.331908928196269</v>
      </c>
      <c r="AP104" s="67">
        <f t="array" ref="AP104">IF($AE$1,AO104*(1+INDEX(AP$1:AP$2,MATCH($O104,$AI$1:$AI$2,0)))^(AP$16-AO$16),INDEX('AEA2012 update'!$AC$6:$AG$104,MATCH($T104&amp;$U104,'AEA2012 update'!$A$6:$A$104&amp;'AEA2012 update'!$B$6:$B$104,0),MATCH(AP$16,'AEA2012 update'!$AC$4:$AG$4,0)))</f>
        <v>11.152757385301742</v>
      </c>
      <c r="AQ104" s="67"/>
      <c r="AR104" s="274">
        <f t="shared" si="24"/>
        <v>-9.990003333333183E-4</v>
      </c>
      <c r="AS104" s="274">
        <f t="shared" si="25"/>
        <v>-7.5326913841620401E-3</v>
      </c>
      <c r="AY104" s="61" t="str">
        <f t="shared" si="22"/>
        <v>HCV8-ODS</v>
      </c>
      <c r="AZ104" s="80" t="e" cm="1">
        <f t="array" aca="1" ref="AZ104" ca="1">AL104/INDIRECT("cv."&amp;LEFT($U104,6)&amp;".hhv.MJL") * 100</f>
        <v>#REF!</v>
      </c>
      <c r="BA104" s="80" t="e" cm="1">
        <f t="array" aca="1" ref="BA104" ca="1">AM104/INDIRECT("cv."&amp;LEFT($U104,6)&amp;".hhv.MJL") * 100</f>
        <v>#REF!</v>
      </c>
      <c r="BB104" s="80" t="e" cm="1">
        <f t="array" aca="1" ref="BB104" ca="1">AN104/INDIRECT("cv."&amp;LEFT($U104,6)&amp;".hhv.MJL") * 100</f>
        <v>#REF!</v>
      </c>
      <c r="BC104" s="80" t="e" cm="1">
        <f t="array" aca="1" ref="BC104" ca="1">AO104/INDIRECT("cv."&amp;LEFT($U104,6)&amp;".hhv.MJL") * 100</f>
        <v>#REF!</v>
      </c>
      <c r="BD104" s="80" t="e" cm="1">
        <f t="array" aca="1" ref="BD104" ca="1">AP104/INDIRECT("cv."&amp;LEFT($U104,6)&amp;".hhv.MJL") * 100</f>
        <v>#REF!</v>
      </c>
    </row>
    <row r="105" spans="1:59" ht="15.75" thickBot="1" x14ac:dyDescent="0.3">
      <c r="N105" s="61" t="s">
        <v>504</v>
      </c>
      <c r="O105" s="61" t="s">
        <v>653</v>
      </c>
      <c r="P105" s="61" t="s">
        <v>750</v>
      </c>
      <c r="Q105" s="61" t="str">
        <f t="shared" si="23"/>
        <v>CV8</v>
      </c>
      <c r="R105" s="61" t="s">
        <v>687</v>
      </c>
      <c r="S105" s="65"/>
      <c r="T105" s="273" t="s">
        <v>747</v>
      </c>
      <c r="U105" s="957" t="s">
        <v>699</v>
      </c>
      <c r="V105" s="965">
        <v>2050</v>
      </c>
      <c r="W105" s="958">
        <f t="shared" si="28"/>
        <v>0</v>
      </c>
      <c r="X105" s="959">
        <f t="shared" si="28"/>
        <v>0</v>
      </c>
      <c r="Y105" s="959">
        <f t="shared" si="28"/>
        <v>0</v>
      </c>
      <c r="Z105" s="959">
        <f t="shared" si="28"/>
        <v>0</v>
      </c>
      <c r="AA105" s="959">
        <f t="shared" si="28"/>
        <v>0</v>
      </c>
      <c r="AB105" s="959">
        <f t="shared" si="28"/>
        <v>0</v>
      </c>
      <c r="AC105" s="960">
        <f t="shared" si="28"/>
        <v>1</v>
      </c>
      <c r="AD105" s="103" cm="1">
        <f t="array" ref="AD105">IF(W105,INDEX('AEA2012 update'!$K$6:$R$104,MATCH($T105&amp;$R105,'AEA2012 update'!$A$6:$A$104&amp;'AEA2012 update'!$B$6:$B$104,0),MATCH(AD$16,'AEA2012 update'!$S$4:$Z$4,0)),INDEX('AEA2012 update'!$K$6:$R$104,MATCH($T105&amp;$U105,'AEA2012 update'!$A$6:$A$104&amp;'AEA2012 update'!$B$6:$B$104,0),MATCH(AD$16,'AEA2012 update'!$S$4:$Z$4,0)))</f>
        <v>9333066.2203088477</v>
      </c>
      <c r="AE105" s="103" cm="1">
        <f t="array" ref="AE105">IF(X105,INDEX('AEA2012 update'!$K$6:$R$104,MATCH($T105&amp;$R105,'AEA2012 update'!$A$6:$A$104&amp;'AEA2012 update'!$B$6:$B$104,0),MATCH(AE$16,'AEA2012 update'!$S$4:$Z$4,0)),INDEX('AEA2012 update'!$K$6:$R$104,MATCH($T105&amp;$U105,'AEA2012 update'!$A$6:$A$104&amp;'AEA2012 update'!$B$6:$B$104,0),MATCH(AE$16,'AEA2012 update'!$S$4:$Z$4,0)))</f>
        <v>3916456.1540345564</v>
      </c>
      <c r="AF105" s="103" cm="1">
        <f t="array" ref="AF105">IF(Y105,INDEX('AEA2012 update'!$K$6:$R$104,MATCH($T105&amp;$R105,'AEA2012 update'!$A$6:$A$104&amp;'AEA2012 update'!$B$6:$B$104,0),MATCH(AF$16,'AEA2012 update'!$S$4:$Z$4,0)),INDEX('AEA2012 update'!$K$6:$R$104,MATCH($T105&amp;$U105,'AEA2012 update'!$A$6:$A$104&amp;'AEA2012 update'!$B$6:$B$104,0),MATCH(AF$16,'AEA2012 update'!$S$4:$Z$4,0)))</f>
        <v>3067405.1292542205</v>
      </c>
      <c r="AG105" s="103" cm="1">
        <f t="array" ref="AG105">IF(Z105,INDEX('AEA2012 update'!$K$6:$R$104,MATCH($T105&amp;$R105,'AEA2012 update'!$A$6:$A$104&amp;'AEA2012 update'!$B$6:$B$104,0),MATCH(AG$16,'AEA2012 update'!$S$4:$Z$4,0)),INDEX('AEA2012 update'!$K$6:$R$104,MATCH($T105&amp;$U105,'AEA2012 update'!$A$6:$A$104&amp;'AEA2012 update'!$B$6:$B$104,0),MATCH(AG$16,'AEA2012 update'!$S$4:$Z$4,0)))</f>
        <v>2218354.1044738842</v>
      </c>
      <c r="AH105" s="103" cm="1">
        <f t="array" ref="AH105">IF(AA105,INDEX('AEA2012 update'!$K$6:$R$104,MATCH($T105&amp;$R105,'AEA2012 update'!$A$6:$A$104&amp;'AEA2012 update'!$B$6:$B$104,0),MATCH(AH$16,'AEA2012 update'!$S$4:$Z$4,0)),INDEX('AEA2012 update'!$K$6:$R$104,MATCH($T105&amp;$U105,'AEA2012 update'!$A$6:$A$104&amp;'AEA2012 update'!$B$6:$B$104,0),MATCH(AH$16,'AEA2012 update'!$S$4:$Z$4,0)))</f>
        <v>2106680.0881784153</v>
      </c>
      <c r="AI105" s="103" cm="1">
        <f t="array" ref="AI105">IF(AB105,INDEX('AEA2012 update'!$K$6:$R$104,MATCH($T105&amp;$R105,'AEA2012 update'!$A$6:$A$104&amp;'AEA2012 update'!$B$6:$B$104,0),MATCH(AI$16,'AEA2012 update'!$S$4:$Z$4,0)),INDEX('AEA2012 update'!$K$6:$R$104,MATCH($T105&amp;$U105,'AEA2012 update'!$A$6:$A$104&amp;'AEA2012 update'!$B$6:$B$104,0),MATCH(AI$16,'AEA2012 update'!$S$4:$Z$4,0)))</f>
        <v>1995006.0718829464</v>
      </c>
      <c r="AJ105" s="103" cm="1">
        <f t="array" ref="AJ105">IF(AC105,INDEX('AEA2012 update'!$K$6:$R$104,MATCH($T105&amp;$R105,'AEA2012 update'!$A$6:$A$104&amp;'AEA2012 update'!$B$6:$B$104,0),MATCH(AJ$16,'AEA2012 update'!$S$4:$Z$4,0)),INDEX('AEA2012 update'!$K$6:$R$104,MATCH($T105&amp;$U105,'AEA2012 update'!$A$6:$A$104&amp;'AEA2012 update'!$B$6:$B$104,0),MATCH(AJ$16,'AEA2012 update'!$S$4:$Z$4,0)))</f>
        <v>1932242.4666352579</v>
      </c>
      <c r="AK105" s="103" t="str">
        <f t="shared" si="26"/>
        <v>CV8HGN</v>
      </c>
      <c r="AL105" s="67">
        <f>INDEX('Vehicle data '!$AD$20:$AD$110,MATCH($AK105,'Vehicle data '!$AC$20:$AC$110,0))/INDEX('Vehicle data '!$AD$20:$AD$110,MATCH($AK$104,'Vehicle data '!$AC$20:$AC$110,0))*AL$104</f>
        <v>6.8643395710089807</v>
      </c>
      <c r="AM105" s="67">
        <f t="array" ref="AM105">IF($AE$1,AL105*(1+INDEX(AM$1:AM$2,MATCH($O105,$AI$1:$AI$2,0)))^(AM$16-AL$16),INDEX('AEA2012 update'!$AC$6:$AG$104,MATCH($T105&amp;$U105,'AEA2012 update'!$A$6:$A$104&amp;'AEA2012 update'!$B$6:$B$104,0),MATCH(AM$16,'AEA2012 update'!$AC$4:$AG$4,0)))</f>
        <v>6.8437671384503274</v>
      </c>
      <c r="AN105" s="67">
        <f t="array" ref="AN105">IF($AE$1,AM105*(1+INDEX(AN$1:AN$2,MATCH($O105,$AI$1:$AI$2,0)))^(AN$16-AM$16),INDEX('AEA2012 update'!$AC$6:$AG$104,MATCH($T105&amp;$U105,'AEA2012 update'!$A$6:$A$104&amp;'AEA2012 update'!$B$6:$B$104,0),MATCH(AN$16,'AEA2012 update'!$AC$4:$AG$4,0)))</f>
        <v>6.4765406945214075</v>
      </c>
      <c r="AO105" s="67">
        <f t="array" ref="AO105">IF($AE$1,AN105*(1+INDEX(AO$1:AO$2,MATCH($O105,$AI$1:$AI$2,0)))^(AO$16-AN$16),INDEX('AEA2012 update'!$AC$6:$AG$104,MATCH($T105&amp;$U105,'AEA2012 update'!$A$6:$A$104&amp;'AEA2012 update'!$B$6:$B$104,0),MATCH(AO$16,'AEA2012 update'!$AC$4:$AG$4,0)))</f>
        <v>5.857267312190233</v>
      </c>
      <c r="AP105" s="67">
        <f t="array" ref="AP105">IF($AE$1,AO105*(1+INDEX(AP$1:AP$2,MATCH($O105,$AI$1:$AI$2,0)))^(AP$16-AO$16),INDEX('AEA2012 update'!$AC$6:$AG$104,MATCH($T105&amp;$U105,'AEA2012 update'!$A$6:$A$104&amp;'AEA2012 update'!$B$6:$B$104,0),MATCH(AP$16,'AEA2012 update'!$AC$4:$AG$4,0)))</f>
        <v>5.2972075656798445</v>
      </c>
      <c r="AQ105" s="67"/>
      <c r="AR105" s="274">
        <f t="shared" si="24"/>
        <v>-9.9900033333332784E-4</v>
      </c>
      <c r="AS105" s="274">
        <f t="shared" si="25"/>
        <v>-7.5326913841620418E-3</v>
      </c>
      <c r="AY105" s="61" t="str">
        <f t="shared" si="22"/>
        <v>HCV8-HGN</v>
      </c>
      <c r="AZ105" s="80" t="e" cm="1">
        <f t="array" aca="1" ref="AZ105" ca="1">AL105/INDIRECT("cv."&amp;LEFT($U105,6)&amp;".hhv.MJL") * 100</f>
        <v>#REF!</v>
      </c>
      <c r="BA105" s="80" t="e" cm="1">
        <f t="array" aca="1" ref="BA105" ca="1">AM105/INDIRECT("cv."&amp;LEFT($U105,6)&amp;".hhv.MJL") * 100</f>
        <v>#REF!</v>
      </c>
      <c r="BB105" s="80" t="e" cm="1">
        <f t="array" aca="1" ref="BB105" ca="1">AN105/INDIRECT("cv."&amp;LEFT($U105,6)&amp;".hhv.MJL") * 100</f>
        <v>#REF!</v>
      </c>
      <c r="BC105" s="80" t="e" cm="1">
        <f t="array" aca="1" ref="BC105" ca="1">AO105/INDIRECT("cv."&amp;LEFT($U105,6)&amp;".hhv.MJL") * 100</f>
        <v>#REF!</v>
      </c>
      <c r="BD105" s="80" t="e" cm="1">
        <f t="array" aca="1" ref="BD105" ca="1">AP105/INDIRECT("cv."&amp;LEFT($U105,6)&amp;".hhv.MJL") * 100</f>
        <v>#REF!</v>
      </c>
    </row>
    <row r="106" spans="1:59" ht="31.5" x14ac:dyDescent="0.25">
      <c r="A106" s="297"/>
      <c r="B106" s="298" t="s">
        <v>751</v>
      </c>
      <c r="C106" s="299" t="s">
        <v>752</v>
      </c>
      <c r="D106" s="298" t="s">
        <v>751</v>
      </c>
      <c r="E106" s="298" t="s">
        <v>752</v>
      </c>
      <c r="N106" s="61" t="s">
        <v>509</v>
      </c>
      <c r="O106" s="61" t="s">
        <v>653</v>
      </c>
      <c r="P106" s="61" t="s">
        <v>750</v>
      </c>
      <c r="Q106" s="61" t="str">
        <f t="shared" si="23"/>
        <v>CV8</v>
      </c>
      <c r="R106" s="61" t="s">
        <v>687</v>
      </c>
      <c r="S106" s="65"/>
      <c r="T106" s="273" t="s">
        <v>747</v>
      </c>
      <c r="U106" s="957" t="s">
        <v>700</v>
      </c>
      <c r="V106" s="965"/>
      <c r="W106" s="958">
        <f t="shared" si="28"/>
        <v>0</v>
      </c>
      <c r="X106" s="959">
        <f t="shared" si="28"/>
        <v>0</v>
      </c>
      <c r="Y106" s="959">
        <f t="shared" si="28"/>
        <v>0</v>
      </c>
      <c r="Z106" s="959">
        <f t="shared" si="28"/>
        <v>0</v>
      </c>
      <c r="AA106" s="959">
        <f t="shared" si="28"/>
        <v>0</v>
      </c>
      <c r="AB106" s="959">
        <f t="shared" si="28"/>
        <v>0</v>
      </c>
      <c r="AC106" s="960">
        <f t="shared" si="28"/>
        <v>0</v>
      </c>
      <c r="AD106" s="103" cm="1">
        <f t="array" ref="AD106">IF(W106,INDEX('AEA2012 update'!$K$6:$R$104,MATCH($T106&amp;$R106,'AEA2012 update'!$A$6:$A$104&amp;'AEA2012 update'!$B$6:$B$104,0),MATCH(AD$16,'AEA2012 update'!$S$4:$Z$4,0)),INDEX('AEA2012 update'!$K$6:$R$104,MATCH($T106&amp;$U106,'AEA2012 update'!$A$6:$A$104&amp;'AEA2012 update'!$B$6:$B$104,0),MATCH(AD$16,'AEA2012 update'!$S$4:$Z$4,0)))</f>
        <v>1933800.165050887</v>
      </c>
      <c r="AE106" s="103" cm="1">
        <f t="array" ref="AE106">IF(X106,INDEX('AEA2012 update'!$K$6:$R$104,MATCH($T106&amp;$R106,'AEA2012 update'!$A$6:$A$104&amp;'AEA2012 update'!$B$6:$B$104,0),MATCH(AE$16,'AEA2012 update'!$S$4:$Z$4,0)),INDEX('AEA2012 update'!$K$6:$R$104,MATCH($T106&amp;$U106,'AEA2012 update'!$A$6:$A$104&amp;'AEA2012 update'!$B$6:$B$104,0),MATCH(AE$16,'AEA2012 update'!$S$4:$Z$4,0)))</f>
        <v>2005955.6428487513</v>
      </c>
      <c r="AF106" s="103" cm="1">
        <f t="array" ref="AF106">IF(Y106,INDEX('AEA2012 update'!$K$6:$R$104,MATCH($T106&amp;$R106,'AEA2012 update'!$A$6:$A$104&amp;'AEA2012 update'!$B$6:$B$104,0),MATCH(AF$16,'AEA2012 update'!$S$4:$Z$4,0)),INDEX('AEA2012 update'!$K$6:$R$104,MATCH($T106&amp;$U106,'AEA2012 update'!$A$6:$A$104&amp;'AEA2012 update'!$B$6:$B$104,0),MATCH(AF$16,'AEA2012 update'!$S$4:$Z$4,0)))</f>
        <v>2000166.9362324402</v>
      </c>
      <c r="AG106" s="103" cm="1">
        <f t="array" ref="AG106">IF(Z106,INDEX('AEA2012 update'!$K$6:$R$104,MATCH($T106&amp;$R106,'AEA2012 update'!$A$6:$A$104&amp;'AEA2012 update'!$B$6:$B$104,0),MATCH(AG$16,'AEA2012 update'!$S$4:$Z$4,0)),INDEX('AEA2012 update'!$K$6:$R$104,MATCH($T106&amp;$U106,'AEA2012 update'!$A$6:$A$104&amp;'AEA2012 update'!$B$6:$B$104,0),MATCH(AG$16,'AEA2012 update'!$S$4:$Z$4,0)))</f>
        <v>1994378.2296161293</v>
      </c>
      <c r="AH106" s="103" cm="1">
        <f t="array" ref="AH106">IF(AA106,INDEX('AEA2012 update'!$K$6:$R$104,MATCH($T106&amp;$R106,'AEA2012 update'!$A$6:$A$104&amp;'AEA2012 update'!$B$6:$B$104,0),MATCH(AH$16,'AEA2012 update'!$S$4:$Z$4,0)),INDEX('AEA2012 update'!$K$6:$R$104,MATCH($T106&amp;$U106,'AEA2012 update'!$A$6:$A$104&amp;'AEA2012 update'!$B$6:$B$104,0),MATCH(AH$16,'AEA2012 update'!$S$4:$Z$4,0)))</f>
        <v>2009358.1927547844</v>
      </c>
      <c r="AI106" s="103" cm="1">
        <f t="array" ref="AI106">IF(AB106,INDEX('AEA2012 update'!$K$6:$R$104,MATCH($T106&amp;$R106,'AEA2012 update'!$A$6:$A$104&amp;'AEA2012 update'!$B$6:$B$104,0),MATCH(AI$16,'AEA2012 update'!$S$4:$Z$4,0)),INDEX('AEA2012 update'!$K$6:$R$104,MATCH($T106&amp;$U106,'AEA2012 update'!$A$6:$A$104&amp;'AEA2012 update'!$B$6:$B$104,0),MATCH(AI$16,'AEA2012 update'!$S$4:$Z$4,0)))</f>
        <v>2024338.1558934394</v>
      </c>
      <c r="AJ106" s="103" cm="1">
        <f t="array" ref="AJ106">IF(AC106,INDEX('AEA2012 update'!$K$6:$R$104,MATCH($T106&amp;$R106,'AEA2012 update'!$A$6:$A$104&amp;'AEA2012 update'!$B$6:$B$104,0),MATCH(AJ$16,'AEA2012 update'!$S$4:$Z$4,0)),INDEX('AEA2012 update'!$K$6:$R$104,MATCH($T106&amp;$U106,'AEA2012 update'!$A$6:$A$104&amp;'AEA2012 update'!$B$6:$B$104,0),MATCH(AJ$16,'AEA2012 update'!$S$4:$Z$4,0)))</f>
        <v>2041960.5056875255</v>
      </c>
      <c r="AK106" s="103" t="str">
        <f t="shared" si="26"/>
        <v>CV8GAS</v>
      </c>
      <c r="AL106" s="67">
        <f>INDEX('Vehicle data '!$AD$20:$AD$110,MATCH($AK106,'Vehicle data '!$AC$20:$AC$110,0))/INDEX('Vehicle data '!$AD$20:$AD$110,MATCH($AK$104,'Vehicle data '!$AC$20:$AC$110,0))*AL$104</f>
        <v>16.620032315339103</v>
      </c>
      <c r="AM106" s="67">
        <f t="array" ref="AM106">IF($AE$1,AL106*(1+INDEX(AM$1:AM$2,MATCH($O106,$AI$1:$AI$2,0)))^(AM$16-AL$16),INDEX('AEA2012 update'!$AC$6:$AG$104,MATCH($T106&amp;$U106,'AEA2012 update'!$A$6:$A$104&amp;'AEA2012 update'!$B$6:$B$104,0),MATCH(AM$16,'AEA2012 update'!$AC$4:$AG$4,0)))</f>
        <v>16.570222061869998</v>
      </c>
      <c r="AN106" s="67">
        <f t="array" ref="AN106">IF($AE$1,AM106*(1+INDEX(AN$1:AN$2,MATCH($O106,$AI$1:$AI$2,0)))^(AN$16-AM$16),INDEX('AEA2012 update'!$AC$6:$AG$104,MATCH($T106&amp;$U106,'AEA2012 update'!$A$6:$A$104&amp;'AEA2012 update'!$B$6:$B$104,0),MATCH(AN$16,'AEA2012 update'!$AC$4:$AG$4,0)))</f>
        <v>15.681088402031461</v>
      </c>
      <c r="AO106" s="67">
        <f t="array" ref="AO106">IF($AE$1,AN106*(1+INDEX(AO$1:AO$2,MATCH($O106,$AI$1:$AI$2,0)))^(AO$16-AN$16),INDEX('AEA2012 update'!$AC$6:$AG$104,MATCH($T106&amp;$U106,'AEA2012 update'!$A$6:$A$104&amp;'AEA2012 update'!$B$6:$B$104,0),MATCH(AO$16,'AEA2012 update'!$AC$4:$AG$4,0)))</f>
        <v>14.181695267425708</v>
      </c>
      <c r="AP106" s="67">
        <f t="array" ref="AP106">IF($AE$1,AO106*(1+INDEX(AP$1:AP$2,MATCH($O106,$AI$1:$AI$2,0)))^(AP$16-AO$16),INDEX('AEA2012 update'!$AC$6:$AG$104,MATCH($T106&amp;$U106,'AEA2012 update'!$A$6:$A$104&amp;'AEA2012 update'!$B$6:$B$104,0),MATCH(AP$16,'AEA2012 update'!$AC$4:$AG$4,0)))</f>
        <v>12.825670993097001</v>
      </c>
      <c r="AQ106" s="67"/>
      <c r="AR106" s="274">
        <f t="shared" si="24"/>
        <v>-9.9900033333334692E-4</v>
      </c>
      <c r="AS106" s="274">
        <f t="shared" si="25"/>
        <v>-7.5326913841620409E-3</v>
      </c>
      <c r="AY106" s="61" t="str">
        <f t="shared" si="22"/>
        <v>HCV8-GAS</v>
      </c>
      <c r="AZ106" s="80" t="e" cm="1">
        <f t="array" aca="1" ref="AZ106" ca="1">AL106/INDIRECT("cv."&amp;LEFT($U106,6)&amp;".hhv.MJL") * 100</f>
        <v>#REF!</v>
      </c>
      <c r="BA106" s="80" t="e" cm="1">
        <f t="array" aca="1" ref="BA106" ca="1">AM106/INDIRECT("cv."&amp;LEFT($U106,6)&amp;".hhv.MJL") * 100</f>
        <v>#REF!</v>
      </c>
      <c r="BB106" s="80" t="e" cm="1">
        <f t="array" aca="1" ref="BB106" ca="1">AN106/INDIRECT("cv."&amp;LEFT($U106,6)&amp;".hhv.MJL") * 100</f>
        <v>#REF!</v>
      </c>
      <c r="BC106" s="80" t="e" cm="1">
        <f t="array" aca="1" ref="BC106" ca="1">AO106/INDIRECT("cv."&amp;LEFT($U106,6)&amp;".hhv.MJL") * 100</f>
        <v>#REF!</v>
      </c>
      <c r="BD106" s="80" t="e" cm="1">
        <f t="array" aca="1" ref="BD106" ca="1">AP106/INDIRECT("cv."&amp;LEFT($U106,6)&amp;".hhv.MJL") * 100</f>
        <v>#REF!</v>
      </c>
    </row>
    <row r="107" spans="1:59" ht="32.25" thickBot="1" x14ac:dyDescent="0.3">
      <c r="A107" s="300" t="s">
        <v>753</v>
      </c>
      <c r="B107" s="301" t="s">
        <v>754</v>
      </c>
      <c r="C107" s="302" t="s">
        <v>754</v>
      </c>
      <c r="D107" s="301" t="s">
        <v>755</v>
      </c>
      <c r="E107" s="301" t="s">
        <v>755</v>
      </c>
      <c r="O107" s="61" t="s">
        <v>653</v>
      </c>
      <c r="P107"/>
      <c r="Q107" s="61" t="str">
        <f t="shared" si="23"/>
        <v/>
      </c>
      <c r="R107"/>
      <c r="S107" s="65"/>
      <c r="T107"/>
      <c r="U107"/>
      <c r="V107" s="965"/>
      <c r="W107" s="961">
        <f t="shared" si="28"/>
        <v>0</v>
      </c>
      <c r="X107" s="962">
        <f t="shared" si="28"/>
        <v>0</v>
      </c>
      <c r="Y107" s="962">
        <f t="shared" si="28"/>
        <v>0</v>
      </c>
      <c r="Z107" s="962">
        <f t="shared" si="28"/>
        <v>0</v>
      </c>
      <c r="AA107" s="962">
        <f t="shared" si="28"/>
        <v>0</v>
      </c>
      <c r="AB107" s="962">
        <f t="shared" si="28"/>
        <v>0</v>
      </c>
      <c r="AC107" s="963">
        <f t="shared" si="28"/>
        <v>0</v>
      </c>
      <c r="AD107" s="103" t="e" cm="1">
        <f t="array" ref="AD107">IF(W107,INDEX('AEA2012 update'!$K$6:$R$104,MATCH($T107&amp;$R107,'AEA2012 update'!$A$6:$A$104&amp;'AEA2012 update'!$B$6:$B$104,0),MATCH(AD$16,'AEA2012 update'!$S$4:$Z$4,0)),INDEX('AEA2012 update'!$K$6:$R$104,MATCH($T107&amp;$U107,'AEA2012 update'!$A$6:$A$104&amp;'AEA2012 update'!$B$6:$B$104,0),MATCH(AD$16,'AEA2012 update'!$S$4:$Z$4,0)))</f>
        <v>#N/A</v>
      </c>
      <c r="AE107" s="103" t="e" cm="1">
        <f t="array" ref="AE107">IF(X107,INDEX('AEA2012 update'!$K$6:$R$104,MATCH($T107&amp;$R107,'AEA2012 update'!$A$6:$A$104&amp;'AEA2012 update'!$B$6:$B$104,0),MATCH(AE$16,'AEA2012 update'!$S$4:$Z$4,0)),INDEX('AEA2012 update'!$K$6:$R$104,MATCH($T107&amp;$U107,'AEA2012 update'!$A$6:$A$104&amp;'AEA2012 update'!$B$6:$B$104,0),MATCH(AE$16,'AEA2012 update'!$S$4:$Z$4,0)))</f>
        <v>#N/A</v>
      </c>
      <c r="AF107" s="103" t="e" cm="1">
        <f t="array" ref="AF107">IF(Y107,INDEX('AEA2012 update'!$K$6:$R$104,MATCH($T107&amp;$R107,'AEA2012 update'!$A$6:$A$104&amp;'AEA2012 update'!$B$6:$B$104,0),MATCH(AF$16,'AEA2012 update'!$S$4:$Z$4,0)),INDEX('AEA2012 update'!$K$6:$R$104,MATCH($T107&amp;$U107,'AEA2012 update'!$A$6:$A$104&amp;'AEA2012 update'!$B$6:$B$104,0),MATCH(AF$16,'AEA2012 update'!$S$4:$Z$4,0)))</f>
        <v>#N/A</v>
      </c>
      <c r="AG107" s="103" t="e" cm="1">
        <f t="array" ref="AG107">IF(Z107,INDEX('AEA2012 update'!$K$6:$R$104,MATCH($T107&amp;$R107,'AEA2012 update'!$A$6:$A$104&amp;'AEA2012 update'!$B$6:$B$104,0),MATCH(AG$16,'AEA2012 update'!$S$4:$Z$4,0)),INDEX('AEA2012 update'!$K$6:$R$104,MATCH($T107&amp;$U107,'AEA2012 update'!$A$6:$A$104&amp;'AEA2012 update'!$B$6:$B$104,0),MATCH(AG$16,'AEA2012 update'!$S$4:$Z$4,0)))</f>
        <v>#N/A</v>
      </c>
      <c r="AH107" s="103" t="e" cm="1">
        <f t="array" ref="AH107">IF(AA107,INDEX('AEA2012 update'!$K$6:$R$104,MATCH($T107&amp;$R107,'AEA2012 update'!$A$6:$A$104&amp;'AEA2012 update'!$B$6:$B$104,0),MATCH(AH$16,'AEA2012 update'!$S$4:$Z$4,0)),INDEX('AEA2012 update'!$K$6:$R$104,MATCH($T107&amp;$U107,'AEA2012 update'!$A$6:$A$104&amp;'AEA2012 update'!$B$6:$B$104,0),MATCH(AH$16,'AEA2012 update'!$S$4:$Z$4,0)))</f>
        <v>#N/A</v>
      </c>
      <c r="AI107" s="103" t="e" cm="1">
        <f t="array" ref="AI107">IF(AB107,INDEX('AEA2012 update'!$K$6:$R$104,MATCH($T107&amp;$R107,'AEA2012 update'!$A$6:$A$104&amp;'AEA2012 update'!$B$6:$B$104,0),MATCH(AI$16,'AEA2012 update'!$S$4:$Z$4,0)),INDEX('AEA2012 update'!$K$6:$R$104,MATCH($T107&amp;$U107,'AEA2012 update'!$A$6:$A$104&amp;'AEA2012 update'!$B$6:$B$104,0),MATCH(AI$16,'AEA2012 update'!$S$4:$Z$4,0)))</f>
        <v>#N/A</v>
      </c>
      <c r="AJ107" s="103" t="e" cm="1">
        <f t="array" ref="AJ107">IF(AC107,INDEX('AEA2012 update'!$K$6:$R$104,MATCH($T107&amp;$R107,'AEA2012 update'!$A$6:$A$104&amp;'AEA2012 update'!$B$6:$B$104,0),MATCH(AJ$16,'AEA2012 update'!$S$4:$Z$4,0)),INDEX('AEA2012 update'!$K$6:$R$104,MATCH($T107&amp;$U107,'AEA2012 update'!$A$6:$A$104&amp;'AEA2012 update'!$B$6:$B$104,0),MATCH(AJ$16,'AEA2012 update'!$S$4:$Z$4,0)))</f>
        <v>#N/A</v>
      </c>
      <c r="AK107" s="103" t="str">
        <f t="shared" si="26"/>
        <v/>
      </c>
      <c r="AL107" s="67" t="e">
        <f>1/INDEX(Analytica!$AA$17:$AE$48,MATCH($AK107,Analytica!$A$17:$A$48,0),MATCH(AL$16,Analytica!$AA$16:$AE$16,0))</f>
        <v>#N/A</v>
      </c>
      <c r="AM107" s="67" t="e">
        <f t="array" ref="AM107">IF($AE$1,AL107*(1+INDEX(AM$1:AM$2,MATCH($O107,$AI$1:$AI$2,0)))^(AM$16-AL$16),INDEX('AEA2012 update'!$AC$6:$AG$104,MATCH($T107&amp;$U107,'AEA2012 update'!$A$6:$A$104&amp;'AEA2012 update'!$B$6:$B$104,0),MATCH(AM$16,'AEA2012 update'!$AC$4:$AG$4,0)))</f>
        <v>#N/A</v>
      </c>
      <c r="AN107" s="67" t="e">
        <f t="array" ref="AN107">IF($AE$1,AM107*(1+INDEX(AN$1:AN$2,MATCH($O107,$AI$1:$AI$2,0)))^(AN$16-AM$16),INDEX('AEA2012 update'!$AC$6:$AG$104,MATCH($T107&amp;$U107,'AEA2012 update'!$A$6:$A$104&amp;'AEA2012 update'!$B$6:$B$104,0),MATCH(AN$16,'AEA2012 update'!$AC$4:$AG$4,0)))</f>
        <v>#N/A</v>
      </c>
      <c r="AO107" s="67" t="e">
        <f t="array" ref="AO107">IF($AE$1,AN107*(1+INDEX(AO$1:AO$2,MATCH($O107,$AI$1:$AI$2,0)))^(AO$16-AN$16),INDEX('AEA2012 update'!$AC$6:$AG$104,MATCH($T107&amp;$U107,'AEA2012 update'!$A$6:$A$104&amp;'AEA2012 update'!$B$6:$B$104,0),MATCH(AO$16,'AEA2012 update'!$AC$4:$AG$4,0)))</f>
        <v>#N/A</v>
      </c>
      <c r="AP107" s="67" t="e">
        <f t="array" ref="AP107">IF($AE$1,AO107*(1+INDEX(AP$1:AP$2,MATCH($O107,$AI$1:$AI$2,0)))^(AP$16-AO$16),INDEX('AEA2012 update'!$AC$6:$AG$104,MATCH($T107&amp;$U107,'AEA2012 update'!$A$6:$A$104&amp;'AEA2012 update'!$B$6:$B$104,0),MATCH(AP$16,'AEA2012 update'!$AC$4:$AG$4,0)))</f>
        <v>#N/A</v>
      </c>
      <c r="AQ107" s="67"/>
      <c r="AR107" s="274" t="e">
        <f t="shared" si="24"/>
        <v>#N/A</v>
      </c>
      <c r="AS107" s="274" t="e">
        <f t="shared" si="25"/>
        <v>#N/A</v>
      </c>
      <c r="AT107"/>
      <c r="AW107"/>
      <c r="AX107"/>
      <c r="AY107" s="61" t="str">
        <f t="shared" si="22"/>
        <v>-</v>
      </c>
      <c r="AZ107" s="80" t="e" cm="1">
        <f t="array" aca="1" ref="AZ107" ca="1">AL107/INDIRECT("cv."&amp;LEFT($U107,6)&amp;".hhv.MJL") * 100</f>
        <v>#N/A</v>
      </c>
      <c r="BA107" s="80" t="e" cm="1">
        <f t="array" aca="1" ref="BA107" ca="1">AM107/INDIRECT("cv."&amp;LEFT($U107,6)&amp;".hhv.MJL") * 100</f>
        <v>#N/A</v>
      </c>
      <c r="BB107" s="80" t="e" cm="1">
        <f t="array" aca="1" ref="BB107" ca="1">AN107/INDIRECT("cv."&amp;LEFT($U107,6)&amp;".hhv.MJL") * 100</f>
        <v>#N/A</v>
      </c>
      <c r="BC107" s="80" t="e" cm="1">
        <f t="array" aca="1" ref="BC107" ca="1">AO107/INDIRECT("cv."&amp;LEFT($U107,6)&amp;".hhv.MJL") * 100</f>
        <v>#N/A</v>
      </c>
      <c r="BD107" s="80" t="e" cm="1">
        <f t="array" aca="1" ref="BD107" ca="1">AP107/INDIRECT("cv."&amp;LEFT($U107,6)&amp;".hhv.MJL") * 100</f>
        <v>#N/A</v>
      </c>
      <c r="BG107"/>
    </row>
    <row r="108" spans="1:59" ht="16.5" thickBot="1" x14ac:dyDescent="0.3">
      <c r="A108" s="303" t="s">
        <v>756</v>
      </c>
      <c r="B108" s="304"/>
      <c r="C108" s="305"/>
      <c r="D108" s="305"/>
      <c r="E108" s="305"/>
      <c r="N108" s="61" t="s">
        <v>511</v>
      </c>
      <c r="O108" s="61" t="s">
        <v>653</v>
      </c>
      <c r="P108" s="61" t="s">
        <v>757</v>
      </c>
      <c r="Q108" s="61" t="str">
        <f t="shared" si="23"/>
        <v>CV9</v>
      </c>
      <c r="R108" s="61" t="s">
        <v>687</v>
      </c>
      <c r="S108" s="65"/>
      <c r="T108" s="273" t="s">
        <v>747</v>
      </c>
      <c r="U108" s="957" t="s">
        <v>687</v>
      </c>
      <c r="V108" s="965"/>
      <c r="W108" s="958">
        <f t="shared" si="28"/>
        <v>0</v>
      </c>
      <c r="X108" s="959">
        <f t="shared" si="28"/>
        <v>0</v>
      </c>
      <c r="Y108" s="959">
        <f t="shared" si="28"/>
        <v>0</v>
      </c>
      <c r="Z108" s="959">
        <f t="shared" si="28"/>
        <v>0</v>
      </c>
      <c r="AA108" s="959">
        <f t="shared" si="28"/>
        <v>0</v>
      </c>
      <c r="AB108" s="959">
        <f t="shared" si="28"/>
        <v>0</v>
      </c>
      <c r="AC108" s="960">
        <f t="shared" si="28"/>
        <v>0</v>
      </c>
      <c r="AD108" s="103" cm="1">
        <f t="array" ref="AD108">IF(W108,INDEX('AEA2012 update'!$K$6:$R$104,MATCH($T108&amp;$R108,'AEA2012 update'!$A$6:$A$104&amp;'AEA2012 update'!$B$6:$B$104,0),MATCH(AD$16,'AEA2012 update'!$S$4:$Z$4,0)),INDEX('AEA2012 update'!$K$6:$R$104,MATCH($T108&amp;$U108,'AEA2012 update'!$A$6:$A$104&amp;'AEA2012 update'!$B$6:$B$104,0),MATCH(AD$16,'AEA2012 update'!$S$4:$Z$4,0)))</f>
        <v>1394803.006015125</v>
      </c>
      <c r="AE108" s="103" cm="1">
        <f t="array" ref="AE108">IF(X108,INDEX('AEA2012 update'!$K$6:$R$104,MATCH($T108&amp;$R108,'AEA2012 update'!$A$6:$A$104&amp;'AEA2012 update'!$B$6:$B$104,0),MATCH(AE$16,'AEA2012 update'!$S$4:$Z$4,0)),INDEX('AEA2012 update'!$K$6:$R$104,MATCH($T108&amp;$U108,'AEA2012 update'!$A$6:$A$104&amp;'AEA2012 update'!$B$6:$B$104,0),MATCH(AE$16,'AEA2012 update'!$S$4:$Z$4,0)))</f>
        <v>1729683.6457722846</v>
      </c>
      <c r="AF108" s="103" cm="1">
        <f t="array" ref="AF108">IF(Y108,INDEX('AEA2012 update'!$K$6:$R$104,MATCH($T108&amp;$R108,'AEA2012 update'!$A$6:$A$104&amp;'AEA2012 update'!$B$6:$B$104,0),MATCH(AF$16,'AEA2012 update'!$S$4:$Z$4,0)),INDEX('AEA2012 update'!$K$6:$R$104,MATCH($T108&amp;$U108,'AEA2012 update'!$A$6:$A$104&amp;'AEA2012 update'!$B$6:$B$104,0),MATCH(AF$16,'AEA2012 update'!$S$4:$Z$4,0)))</f>
        <v>1774391.33913615</v>
      </c>
      <c r="AG108" s="103" cm="1">
        <f t="array" ref="AG108">IF(Z108,INDEX('AEA2012 update'!$K$6:$R$104,MATCH($T108&amp;$R108,'AEA2012 update'!$A$6:$A$104&amp;'AEA2012 update'!$B$6:$B$104,0),MATCH(AG$16,'AEA2012 update'!$S$4:$Z$4,0)),INDEX('AEA2012 update'!$K$6:$R$104,MATCH($T108&amp;$U108,'AEA2012 update'!$A$6:$A$104&amp;'AEA2012 update'!$B$6:$B$104,0),MATCH(AG$16,'AEA2012 update'!$S$4:$Z$4,0)))</f>
        <v>1819099.0325000153</v>
      </c>
      <c r="AH108" s="103" cm="1">
        <f t="array" ref="AH108">IF(AA108,INDEX('AEA2012 update'!$K$6:$R$104,MATCH($T108&amp;$R108,'AEA2012 update'!$A$6:$A$104&amp;'AEA2012 update'!$B$6:$B$104,0),MATCH(AH$16,'AEA2012 update'!$S$4:$Z$4,0)),INDEX('AEA2012 update'!$K$6:$R$104,MATCH($T108&amp;$U108,'AEA2012 update'!$A$6:$A$104&amp;'AEA2012 update'!$B$6:$B$104,0),MATCH(AH$16,'AEA2012 update'!$S$4:$Z$4,0)))</f>
        <v>1853992.6191889104</v>
      </c>
      <c r="AI108" s="103" cm="1">
        <f t="array" ref="AI108">IF(AB108,INDEX('AEA2012 update'!$K$6:$R$104,MATCH($T108&amp;$R108,'AEA2012 update'!$A$6:$A$104&amp;'AEA2012 update'!$B$6:$B$104,0),MATCH(AI$16,'AEA2012 update'!$S$4:$Z$4,0)),INDEX('AEA2012 update'!$K$6:$R$104,MATCH($T108&amp;$U108,'AEA2012 update'!$A$6:$A$104&amp;'AEA2012 update'!$B$6:$B$104,0),MATCH(AI$16,'AEA2012 update'!$S$4:$Z$4,0)))</f>
        <v>1888886.2058778054</v>
      </c>
      <c r="AJ108" s="103" cm="1">
        <f t="array" ref="AJ108">IF(AC108,INDEX('AEA2012 update'!$K$6:$R$104,MATCH($T108&amp;$R108,'AEA2012 update'!$A$6:$A$104&amp;'AEA2012 update'!$B$6:$B$104,0),MATCH(AJ$16,'AEA2012 update'!$S$4:$Z$4,0)),INDEX('AEA2012 update'!$K$6:$R$104,MATCH($T108&amp;$U108,'AEA2012 update'!$A$6:$A$104&amp;'AEA2012 update'!$B$6:$B$104,0),MATCH(AJ$16,'AEA2012 update'!$S$4:$Z$4,0)))</f>
        <v>1932242.4666352579</v>
      </c>
      <c r="AK108" s="103" t="str">
        <f t="shared" si="26"/>
        <v>CV9ODS</v>
      </c>
      <c r="AL108" s="67">
        <f>1/INDEX(Analytica!$AA$17:$AE$48,MATCH($AK108,Analytica!$A$17:$A$48,0),MATCH(AL$16,Analytica!$AA$16:$AE$16,0))</f>
        <v>18.392034419546842</v>
      </c>
      <c r="AM108" s="67">
        <f t="array" ref="AM108">IF($AE$1,AL108*(1+INDEX(AM$1:AM$2,MATCH($O108,$AI$1:$AI$2,0)))^(AM$16-AL$16),INDEX('AEA2012 update'!$AC$6:$AG$104,MATCH($T108&amp;$U108,'AEA2012 update'!$A$6:$A$104&amp;'AEA2012 update'!$B$6:$B$104,0),MATCH(AM$16,'AEA2012 update'!$AC$4:$AG$4,0)))</f>
        <v>18.336913473999427</v>
      </c>
      <c r="AN108" s="67">
        <f t="array" ref="AN108">IF($AE$1,AM108*(1+INDEX(AN$1:AN$2,MATCH($O108,$AI$1:$AI$2,0)))^(AN$16-AM$16),INDEX('AEA2012 update'!$AC$6:$AG$104,MATCH($T108&amp;$U108,'AEA2012 update'!$A$6:$A$104&amp;'AEA2012 update'!$B$6:$B$104,0),MATCH(AN$16,'AEA2012 update'!$AC$4:$AG$4,0)))</f>
        <v>17.352981760447015</v>
      </c>
      <c r="AO108" s="67">
        <f t="array" ref="AO108">IF($AE$1,AN108*(1+INDEX(AO$1:AO$2,MATCH($O108,$AI$1:$AI$2,0)))^(AO$16-AN$16),INDEX('AEA2012 update'!$AC$6:$AG$104,MATCH($T108&amp;$U108,'AEA2012 update'!$A$6:$A$104&amp;'AEA2012 update'!$B$6:$B$104,0),MATCH(AO$16,'AEA2012 update'!$AC$4:$AG$4,0)))</f>
        <v>15.693725652103005</v>
      </c>
      <c r="AP108" s="67">
        <f t="array" ref="AP108">IF($AE$1,AO108*(1+INDEX(AP$1:AP$2,MATCH($O108,$AI$1:$AI$2,0)))^(AP$16-AO$16),INDEX('AEA2012 update'!$AC$6:$AG$104,MATCH($T108&amp;$U108,'AEA2012 update'!$A$6:$A$104&amp;'AEA2012 update'!$B$6:$B$104,0),MATCH(AP$16,'AEA2012 update'!$AC$4:$AG$4,0)))</f>
        <v>14.193124169867817</v>
      </c>
      <c r="AQ108" s="67"/>
      <c r="AR108" s="274">
        <f t="shared" si="24"/>
        <v>-9.9900033333331136E-4</v>
      </c>
      <c r="AS108" s="274">
        <f t="shared" si="25"/>
        <v>-7.5326913841620418E-3</v>
      </c>
      <c r="AT108"/>
      <c r="AW108"/>
      <c r="AX108"/>
      <c r="AY108" s="61" t="str">
        <f t="shared" si="22"/>
        <v>HCV9-ODS</v>
      </c>
      <c r="AZ108" s="80" t="e" cm="1">
        <f t="array" aca="1" ref="AZ108" ca="1">AL108/INDIRECT("cv."&amp;LEFT($U108,6)&amp;".hhv.MJL") * 100</f>
        <v>#REF!</v>
      </c>
      <c r="BA108" s="80" t="e" cm="1">
        <f t="array" aca="1" ref="BA108" ca="1">AM108/INDIRECT("cv."&amp;LEFT($U108,6)&amp;".hhv.MJL") * 100</f>
        <v>#REF!</v>
      </c>
      <c r="BB108" s="80" t="e" cm="1">
        <f t="array" aca="1" ref="BB108" ca="1">AN108/INDIRECT("cv."&amp;LEFT($U108,6)&amp;".hhv.MJL") * 100</f>
        <v>#REF!</v>
      </c>
      <c r="BC108" s="80" t="e" cm="1">
        <f t="array" aca="1" ref="BC108" ca="1">AO108/INDIRECT("cv."&amp;LEFT($U108,6)&amp;".hhv.MJL") * 100</f>
        <v>#REF!</v>
      </c>
      <c r="BD108" s="80" t="e" cm="1">
        <f t="array" aca="1" ref="BD108" ca="1">AP108/INDIRECT("cv."&amp;LEFT($U108,6)&amp;".hhv.MJL") * 100</f>
        <v>#REF!</v>
      </c>
      <c r="BG108"/>
    </row>
    <row r="109" spans="1:59"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23"/>
        <v>CV9</v>
      </c>
      <c r="R109" s="61" t="s">
        <v>687</v>
      </c>
      <c r="S109" s="65"/>
      <c r="T109" s="273" t="s">
        <v>747</v>
      </c>
      <c r="U109" s="957" t="s">
        <v>699</v>
      </c>
      <c r="V109" s="965">
        <v>2050</v>
      </c>
      <c r="W109" s="958">
        <f t="shared" si="28"/>
        <v>0</v>
      </c>
      <c r="X109" s="959">
        <f t="shared" si="28"/>
        <v>0</v>
      </c>
      <c r="Y109" s="959">
        <f t="shared" si="28"/>
        <v>0</v>
      </c>
      <c r="Z109" s="959">
        <f t="shared" si="28"/>
        <v>0</v>
      </c>
      <c r="AA109" s="959">
        <f t="shared" si="28"/>
        <v>0</v>
      </c>
      <c r="AB109" s="959">
        <f t="shared" si="28"/>
        <v>0</v>
      </c>
      <c r="AC109" s="960">
        <f t="shared" si="28"/>
        <v>1</v>
      </c>
      <c r="AD109" s="103" cm="1">
        <f t="array" ref="AD109">IF(W109,INDEX('AEA2012 update'!$K$6:$R$104,MATCH($T109&amp;$R109,'AEA2012 update'!$A$6:$A$104&amp;'AEA2012 update'!$B$6:$B$104,0),MATCH(AD$16,'AEA2012 update'!$S$4:$Z$4,0)),INDEX('AEA2012 update'!$K$6:$R$104,MATCH($T109&amp;$U109,'AEA2012 update'!$A$6:$A$104&amp;'AEA2012 update'!$B$6:$B$104,0),MATCH(AD$16,'AEA2012 update'!$S$4:$Z$4,0)))</f>
        <v>9333066.2203088477</v>
      </c>
      <c r="AE109" s="103" cm="1">
        <f t="array" ref="AE109">IF(X109,INDEX('AEA2012 update'!$K$6:$R$104,MATCH($T109&amp;$R109,'AEA2012 update'!$A$6:$A$104&amp;'AEA2012 update'!$B$6:$B$104,0),MATCH(AE$16,'AEA2012 update'!$S$4:$Z$4,0)),INDEX('AEA2012 update'!$K$6:$R$104,MATCH($T109&amp;$U109,'AEA2012 update'!$A$6:$A$104&amp;'AEA2012 update'!$B$6:$B$104,0),MATCH(AE$16,'AEA2012 update'!$S$4:$Z$4,0)))</f>
        <v>3916456.1540345564</v>
      </c>
      <c r="AF109" s="103" cm="1">
        <f t="array" ref="AF109">IF(Y109,INDEX('AEA2012 update'!$K$6:$R$104,MATCH($T109&amp;$R109,'AEA2012 update'!$A$6:$A$104&amp;'AEA2012 update'!$B$6:$B$104,0),MATCH(AF$16,'AEA2012 update'!$S$4:$Z$4,0)),INDEX('AEA2012 update'!$K$6:$R$104,MATCH($T109&amp;$U109,'AEA2012 update'!$A$6:$A$104&amp;'AEA2012 update'!$B$6:$B$104,0),MATCH(AF$16,'AEA2012 update'!$S$4:$Z$4,0)))</f>
        <v>3067405.1292542205</v>
      </c>
      <c r="AG109" s="103" cm="1">
        <f t="array" ref="AG109">IF(Z109,INDEX('AEA2012 update'!$K$6:$R$104,MATCH($T109&amp;$R109,'AEA2012 update'!$A$6:$A$104&amp;'AEA2012 update'!$B$6:$B$104,0),MATCH(AG$16,'AEA2012 update'!$S$4:$Z$4,0)),INDEX('AEA2012 update'!$K$6:$R$104,MATCH($T109&amp;$U109,'AEA2012 update'!$A$6:$A$104&amp;'AEA2012 update'!$B$6:$B$104,0),MATCH(AG$16,'AEA2012 update'!$S$4:$Z$4,0)))</f>
        <v>2218354.1044738842</v>
      </c>
      <c r="AH109" s="103" cm="1">
        <f t="array" ref="AH109">IF(AA109,INDEX('AEA2012 update'!$K$6:$R$104,MATCH($T109&amp;$R109,'AEA2012 update'!$A$6:$A$104&amp;'AEA2012 update'!$B$6:$B$104,0),MATCH(AH$16,'AEA2012 update'!$S$4:$Z$4,0)),INDEX('AEA2012 update'!$K$6:$R$104,MATCH($T109&amp;$U109,'AEA2012 update'!$A$6:$A$104&amp;'AEA2012 update'!$B$6:$B$104,0),MATCH(AH$16,'AEA2012 update'!$S$4:$Z$4,0)))</f>
        <v>2106680.0881784153</v>
      </c>
      <c r="AI109" s="103" cm="1">
        <f t="array" ref="AI109">IF(AB109,INDEX('AEA2012 update'!$K$6:$R$104,MATCH($T109&amp;$R109,'AEA2012 update'!$A$6:$A$104&amp;'AEA2012 update'!$B$6:$B$104,0),MATCH(AI$16,'AEA2012 update'!$S$4:$Z$4,0)),INDEX('AEA2012 update'!$K$6:$R$104,MATCH($T109&amp;$U109,'AEA2012 update'!$A$6:$A$104&amp;'AEA2012 update'!$B$6:$B$104,0),MATCH(AI$16,'AEA2012 update'!$S$4:$Z$4,0)))</f>
        <v>1995006.0718829464</v>
      </c>
      <c r="AJ109" s="103" cm="1">
        <f t="array" ref="AJ109">IF(AC109,INDEX('AEA2012 update'!$K$6:$R$104,MATCH($T109&amp;$R109,'AEA2012 update'!$A$6:$A$104&amp;'AEA2012 update'!$B$6:$B$104,0),MATCH(AJ$16,'AEA2012 update'!$S$4:$Z$4,0)),INDEX('AEA2012 update'!$K$6:$R$104,MATCH($T109&amp;$U109,'AEA2012 update'!$A$6:$A$104&amp;'AEA2012 update'!$B$6:$B$104,0),MATCH(AJ$16,'AEA2012 update'!$S$4:$Z$4,0)))</f>
        <v>1932242.4666352579</v>
      </c>
      <c r="AK109" s="103" t="str">
        <f t="shared" si="26"/>
        <v>CV9HGN</v>
      </c>
      <c r="AL109" s="67">
        <f>INDEX('Vehicle data '!$AD$20:$AD$110,MATCH($AK109,'Vehicle data '!$AC$20:$AC$110,0))/INDEX('Vehicle data '!$AD$20:$AD$110,MATCH($AK$108,'Vehicle data '!$AC$20:$AC$110,0))*AL$108</f>
        <v>8.7356355481978181</v>
      </c>
      <c r="AM109" s="67">
        <f t="array" ref="AM109">IF($AE$1,AL109*(1+INDEX(AM$1:AM$2,MATCH($O109,$AI$1:$AI$2,0)))^(AM$16-AL$16),INDEX('AEA2012 update'!$AC$6:$AG$104,MATCH($T109&amp;$U109,'AEA2012 update'!$A$6:$A$104&amp;'AEA2012 update'!$B$6:$B$104,0),MATCH(AM$16,'AEA2012 update'!$AC$4:$AG$4,0)))</f>
        <v>8.7094548397242342</v>
      </c>
      <c r="AN109" s="67">
        <f t="array" ref="AN109">IF($AE$1,AM109*(1+INDEX(AN$1:AN$2,MATCH($O109,$AI$1:$AI$2,0)))^(AN$16-AM$16),INDEX('AEA2012 update'!$AC$6:$AG$104,MATCH($T109&amp;$U109,'AEA2012 update'!$A$6:$A$104&amp;'AEA2012 update'!$B$6:$B$104,0),MATCH(AN$16,'AEA2012 update'!$AC$4:$AG$4,0)))</f>
        <v>8.2421183473146353</v>
      </c>
      <c r="AO109" s="67">
        <f t="array" ref="AO109">IF($AE$1,AN109*(1+INDEX(AO$1:AO$2,MATCH($O109,$AI$1:$AI$2,0)))^(AO$16-AN$16),INDEX('AEA2012 update'!$AC$6:$AG$104,MATCH($T109&amp;$U109,'AEA2012 update'!$A$6:$A$104&amp;'AEA2012 update'!$B$6:$B$104,0),MATCH(AO$16,'AEA2012 update'!$AC$4:$AG$4,0)))</f>
        <v>7.4540240934125466</v>
      </c>
      <c r="AP109" s="67">
        <f t="array" ref="AP109">IF($AE$1,AO109*(1+INDEX(AP$1:AP$2,MATCH($O109,$AI$1:$AI$2,0)))^(AP$16-AO$16),INDEX('AEA2012 update'!$AC$6:$AG$104,MATCH($T109&amp;$U109,'AEA2012 update'!$A$6:$A$104&amp;'AEA2012 update'!$B$6:$B$104,0),MATCH(AP$16,'AEA2012 update'!$AC$4:$AG$4,0)))</f>
        <v>6.7412857767660599</v>
      </c>
      <c r="AQ109" s="67"/>
      <c r="AR109" s="274">
        <f t="shared" si="24"/>
        <v>-9.9900033333331353E-4</v>
      </c>
      <c r="AS109" s="274">
        <f t="shared" si="25"/>
        <v>-7.5326913841620427E-3</v>
      </c>
      <c r="AT109"/>
      <c r="AW109"/>
      <c r="AX109"/>
      <c r="AY109" s="61" t="str">
        <f t="shared" si="22"/>
        <v>HCV9-HGN</v>
      </c>
      <c r="AZ109" s="80" t="e" cm="1">
        <f t="array" aca="1" ref="AZ109" ca="1">AL109/INDIRECT("cv."&amp;LEFT($U109,6)&amp;".hhv.MJL") * 100</f>
        <v>#REF!</v>
      </c>
      <c r="BA109" s="80" t="e" cm="1">
        <f t="array" aca="1" ref="BA109" ca="1">AM109/INDIRECT("cv."&amp;LEFT($U109,6)&amp;".hhv.MJL") * 100</f>
        <v>#REF!</v>
      </c>
      <c r="BB109" s="80" t="e" cm="1">
        <f t="array" aca="1" ref="BB109" ca="1">AN109/INDIRECT("cv."&amp;LEFT($U109,6)&amp;".hhv.MJL") * 100</f>
        <v>#REF!</v>
      </c>
      <c r="BC109" s="80" t="e" cm="1">
        <f t="array" aca="1" ref="BC109" ca="1">AO109/INDIRECT("cv."&amp;LEFT($U109,6)&amp;".hhv.MJL") * 100</f>
        <v>#REF!</v>
      </c>
      <c r="BD109" s="80" t="e" cm="1">
        <f t="array" aca="1" ref="BD109" ca="1">AP109/INDIRECT("cv."&amp;LEFT($U109,6)&amp;".hhv.MJL") * 100</f>
        <v>#REF!</v>
      </c>
      <c r="BG109"/>
    </row>
    <row r="110" spans="1:59"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23"/>
        <v>CV9</v>
      </c>
      <c r="R110" s="61" t="s">
        <v>687</v>
      </c>
      <c r="S110" s="65"/>
      <c r="T110" s="273" t="s">
        <v>747</v>
      </c>
      <c r="U110" s="957" t="s">
        <v>700</v>
      </c>
      <c r="V110" s="965"/>
      <c r="W110" s="958">
        <f t="shared" si="28"/>
        <v>0</v>
      </c>
      <c r="X110" s="959">
        <f t="shared" si="28"/>
        <v>0</v>
      </c>
      <c r="Y110" s="959">
        <f t="shared" si="28"/>
        <v>0</v>
      </c>
      <c r="Z110" s="959">
        <f t="shared" si="28"/>
        <v>0</v>
      </c>
      <c r="AA110" s="959">
        <f t="shared" si="28"/>
        <v>0</v>
      </c>
      <c r="AB110" s="959">
        <f t="shared" si="28"/>
        <v>0</v>
      </c>
      <c r="AC110" s="960">
        <f t="shared" si="28"/>
        <v>0</v>
      </c>
      <c r="AD110" s="103" cm="1">
        <f t="array" ref="AD110">IF(W110,INDEX('AEA2012 update'!$K$6:$R$104,MATCH($T110&amp;$R110,'AEA2012 update'!$A$6:$A$104&amp;'AEA2012 update'!$B$6:$B$104,0),MATCH(AD$16,'AEA2012 update'!$S$4:$Z$4,0)),INDEX('AEA2012 update'!$K$6:$R$104,MATCH($T110&amp;$U110,'AEA2012 update'!$A$6:$A$104&amp;'AEA2012 update'!$B$6:$B$104,0),MATCH(AD$16,'AEA2012 update'!$S$4:$Z$4,0)))</f>
        <v>1933800.165050887</v>
      </c>
      <c r="AE110" s="103" cm="1">
        <f t="array" ref="AE110">IF(X110,INDEX('AEA2012 update'!$K$6:$R$104,MATCH($T110&amp;$R110,'AEA2012 update'!$A$6:$A$104&amp;'AEA2012 update'!$B$6:$B$104,0),MATCH(AE$16,'AEA2012 update'!$S$4:$Z$4,0)),INDEX('AEA2012 update'!$K$6:$R$104,MATCH($T110&amp;$U110,'AEA2012 update'!$A$6:$A$104&amp;'AEA2012 update'!$B$6:$B$104,0),MATCH(AE$16,'AEA2012 update'!$S$4:$Z$4,0)))</f>
        <v>2005955.6428487513</v>
      </c>
      <c r="AF110" s="103" cm="1">
        <f t="array" ref="AF110">IF(Y110,INDEX('AEA2012 update'!$K$6:$R$104,MATCH($T110&amp;$R110,'AEA2012 update'!$A$6:$A$104&amp;'AEA2012 update'!$B$6:$B$104,0),MATCH(AF$16,'AEA2012 update'!$S$4:$Z$4,0)),INDEX('AEA2012 update'!$K$6:$R$104,MATCH($T110&amp;$U110,'AEA2012 update'!$A$6:$A$104&amp;'AEA2012 update'!$B$6:$B$104,0),MATCH(AF$16,'AEA2012 update'!$S$4:$Z$4,0)))</f>
        <v>2000166.9362324402</v>
      </c>
      <c r="AG110" s="103" cm="1">
        <f t="array" ref="AG110">IF(Z110,INDEX('AEA2012 update'!$K$6:$R$104,MATCH($T110&amp;$R110,'AEA2012 update'!$A$6:$A$104&amp;'AEA2012 update'!$B$6:$B$104,0),MATCH(AG$16,'AEA2012 update'!$S$4:$Z$4,0)),INDEX('AEA2012 update'!$K$6:$R$104,MATCH($T110&amp;$U110,'AEA2012 update'!$A$6:$A$104&amp;'AEA2012 update'!$B$6:$B$104,0),MATCH(AG$16,'AEA2012 update'!$S$4:$Z$4,0)))</f>
        <v>1994378.2296161293</v>
      </c>
      <c r="AH110" s="103" cm="1">
        <f t="array" ref="AH110">IF(AA110,INDEX('AEA2012 update'!$K$6:$R$104,MATCH($T110&amp;$R110,'AEA2012 update'!$A$6:$A$104&amp;'AEA2012 update'!$B$6:$B$104,0),MATCH(AH$16,'AEA2012 update'!$S$4:$Z$4,0)),INDEX('AEA2012 update'!$K$6:$R$104,MATCH($T110&amp;$U110,'AEA2012 update'!$A$6:$A$104&amp;'AEA2012 update'!$B$6:$B$104,0),MATCH(AH$16,'AEA2012 update'!$S$4:$Z$4,0)))</f>
        <v>2009358.1927547844</v>
      </c>
      <c r="AI110" s="103" cm="1">
        <f t="array" ref="AI110">IF(AB110,INDEX('AEA2012 update'!$K$6:$R$104,MATCH($T110&amp;$R110,'AEA2012 update'!$A$6:$A$104&amp;'AEA2012 update'!$B$6:$B$104,0),MATCH(AI$16,'AEA2012 update'!$S$4:$Z$4,0)),INDEX('AEA2012 update'!$K$6:$R$104,MATCH($T110&amp;$U110,'AEA2012 update'!$A$6:$A$104&amp;'AEA2012 update'!$B$6:$B$104,0),MATCH(AI$16,'AEA2012 update'!$S$4:$Z$4,0)))</f>
        <v>2024338.1558934394</v>
      </c>
      <c r="AJ110" s="103" cm="1">
        <f t="array" ref="AJ110">IF(AC110,INDEX('AEA2012 update'!$K$6:$R$104,MATCH($T110&amp;$R110,'AEA2012 update'!$A$6:$A$104&amp;'AEA2012 update'!$B$6:$B$104,0),MATCH(AJ$16,'AEA2012 update'!$S$4:$Z$4,0)),INDEX('AEA2012 update'!$K$6:$R$104,MATCH($T110&amp;$U110,'AEA2012 update'!$A$6:$A$104&amp;'AEA2012 update'!$B$6:$B$104,0),MATCH(AJ$16,'AEA2012 update'!$S$4:$Z$4,0)))</f>
        <v>2041960.5056875255</v>
      </c>
      <c r="AK110" s="103" t="str">
        <f t="shared" si="26"/>
        <v>CV9GAS</v>
      </c>
      <c r="AL110" s="67">
        <f>INDEX('Vehicle data '!$AD$20:$AD$110,MATCH($AK110,'Vehicle data '!$AC$20:$AC$110,0))/INDEX('Vehicle data '!$AD$20:$AD$110,MATCH($AK$108,'Vehicle data '!$AC$20:$AC$110,0))*AL$108</f>
        <v>21.150839582478866</v>
      </c>
      <c r="AM110" s="67">
        <f t="array" ref="AM110">IF($AE$1,AL110*(1+INDEX(AM$1:AM$2,MATCH($O110,$AI$1:$AI$2,0)))^(AM$16-AL$16),INDEX('AEA2012 update'!$AC$6:$AG$104,MATCH($T110&amp;$U110,'AEA2012 update'!$A$6:$A$104&amp;'AEA2012 update'!$B$6:$B$104,0),MATCH(AM$16,'AEA2012 update'!$AC$4:$AG$4,0)))</f>
        <v>21.087450495099336</v>
      </c>
      <c r="AN110" s="67">
        <f t="array" ref="AN110">IF($AE$1,AM110*(1+INDEX(AN$1:AN$2,MATCH($O110,$AI$1:$AI$2,0)))^(AN$16-AM$16),INDEX('AEA2012 update'!$AC$6:$AG$104,MATCH($T110&amp;$U110,'AEA2012 update'!$A$6:$A$104&amp;'AEA2012 update'!$B$6:$B$104,0),MATCH(AN$16,'AEA2012 update'!$AC$4:$AG$4,0)))</f>
        <v>19.955929024514063</v>
      </c>
      <c r="AO110" s="67">
        <f t="array" ref="AO110">IF($AE$1,AN110*(1+INDEX(AO$1:AO$2,MATCH($O110,$AI$1:$AI$2,0)))^(AO$16-AN$16),INDEX('AEA2012 update'!$AC$6:$AG$104,MATCH($T110&amp;$U110,'AEA2012 update'!$A$6:$A$104&amp;'AEA2012 update'!$B$6:$B$104,0),MATCH(AO$16,'AEA2012 update'!$AC$4:$AG$4,0)))</f>
        <v>18.047784499918453</v>
      </c>
      <c r="AP110" s="67">
        <f t="array" ref="AP110">IF($AE$1,AO110*(1+INDEX(AP$1:AP$2,MATCH($O110,$AI$1:$AI$2,0)))^(AP$16-AO$16),INDEX('AEA2012 update'!$AC$6:$AG$104,MATCH($T110&amp;$U110,'AEA2012 update'!$A$6:$A$104&amp;'AEA2012 update'!$B$6:$B$104,0),MATCH(AP$16,'AEA2012 update'!$AC$4:$AG$4,0)))</f>
        <v>16.322092795347988</v>
      </c>
      <c r="AQ110" s="67"/>
      <c r="AR110" s="274">
        <f t="shared" si="24"/>
        <v>-9.9900033333335625E-4</v>
      </c>
      <c r="AS110" s="274">
        <f t="shared" si="25"/>
        <v>-7.5326913841620383E-3</v>
      </c>
      <c r="AY110" s="61" t="str">
        <f t="shared" si="22"/>
        <v>HCV9-GAS</v>
      </c>
      <c r="AZ110" s="80" t="e" cm="1">
        <f t="array" aca="1" ref="AZ110" ca="1">AL110/INDIRECT("cv."&amp;LEFT($U110,6)&amp;".hhv.MJL") * 100</f>
        <v>#REF!</v>
      </c>
      <c r="BA110" s="80" t="e" cm="1">
        <f t="array" aca="1" ref="BA110" ca="1">AM110/INDIRECT("cv."&amp;LEFT($U110,6)&amp;".hhv.MJL") * 100</f>
        <v>#REF!</v>
      </c>
      <c r="BB110" s="80" t="e" cm="1">
        <f t="array" aca="1" ref="BB110" ca="1">AN110/INDIRECT("cv."&amp;LEFT($U110,6)&amp;".hhv.MJL") * 100</f>
        <v>#REF!</v>
      </c>
      <c r="BC110" s="80" t="e" cm="1">
        <f t="array" aca="1" ref="BC110" ca="1">AO110/INDIRECT("cv."&amp;LEFT($U110,6)&amp;".hhv.MJL") * 100</f>
        <v>#REF!</v>
      </c>
      <c r="BD110" s="80" t="e" cm="1">
        <f t="array" aca="1" ref="BD110" ca="1">AP110/INDIRECT("cv."&amp;LEFT($U110,6)&amp;".hhv.MJL") * 100</f>
        <v>#REF!</v>
      </c>
    </row>
    <row r="111" spans="1:59" ht="16.5" thickBot="1" x14ac:dyDescent="0.3">
      <c r="A111" s="306" t="s">
        <v>762</v>
      </c>
      <c r="B111" s="307">
        <v>20</v>
      </c>
      <c r="C111" s="308" t="s">
        <v>763</v>
      </c>
      <c r="D111" s="307">
        <v>26</v>
      </c>
      <c r="E111" s="309" t="s">
        <v>764</v>
      </c>
      <c r="G111" s="61">
        <f t="shared" ref="G111:H126" si="29">B111/D111</f>
        <v>0.76923076923076927</v>
      </c>
      <c r="H111" s="61" t="e">
        <f t="shared" si="29"/>
        <v>#VALUE!</v>
      </c>
      <c r="N111"/>
      <c r="O111"/>
      <c r="P111"/>
      <c r="Q111"/>
      <c r="R111"/>
      <c r="S111"/>
      <c r="T111"/>
      <c r="U111"/>
      <c r="V111"/>
      <c r="W111"/>
      <c r="X111"/>
      <c r="Y111"/>
      <c r="Z111"/>
      <c r="AA111"/>
      <c r="AB111"/>
      <c r="AC111"/>
      <c r="AD111"/>
      <c r="AE111"/>
      <c r="AF111"/>
      <c r="AG111"/>
      <c r="AH111"/>
      <c r="AI111"/>
      <c r="AJ111"/>
      <c r="AK111"/>
      <c r="AL111"/>
      <c r="AR111" s="274" t="e">
        <f t="shared" si="24"/>
        <v>#DIV/0!</v>
      </c>
      <c r="AS111" s="274"/>
    </row>
    <row r="112" spans="1:59" ht="16.5" thickBot="1" x14ac:dyDescent="0.3">
      <c r="A112" s="306" t="s">
        <v>765</v>
      </c>
      <c r="B112" s="307">
        <v>26</v>
      </c>
      <c r="C112" s="308" t="s">
        <v>766</v>
      </c>
      <c r="D112" s="307">
        <v>34</v>
      </c>
      <c r="E112" s="309" t="s">
        <v>767</v>
      </c>
      <c r="G112" s="61">
        <f t="shared" si="29"/>
        <v>0.76470588235294112</v>
      </c>
      <c r="H112" s="61" t="e">
        <f t="shared" si="29"/>
        <v>#VALUE!</v>
      </c>
      <c r="N112"/>
      <c r="O112"/>
      <c r="P112"/>
      <c r="Q112"/>
      <c r="R112"/>
      <c r="S112"/>
      <c r="T112"/>
      <c r="U112"/>
      <c r="V112"/>
      <c r="W112"/>
      <c r="X112"/>
      <c r="Y112"/>
      <c r="Z112"/>
      <c r="AA112"/>
      <c r="AB112"/>
      <c r="AC112"/>
      <c r="AD112"/>
      <c r="AE112"/>
      <c r="AF112"/>
      <c r="AG112"/>
      <c r="AH112"/>
      <c r="AI112"/>
      <c r="AJ112"/>
      <c r="AK112"/>
      <c r="AL112"/>
      <c r="AR112" s="274"/>
      <c r="AS112" s="274"/>
    </row>
    <row r="113" spans="1:45" ht="16.5" thickBot="1" x14ac:dyDescent="0.3">
      <c r="A113" s="306" t="s">
        <v>768</v>
      </c>
      <c r="B113" s="307">
        <v>24</v>
      </c>
      <c r="C113" s="308" t="s">
        <v>769</v>
      </c>
      <c r="D113" s="307">
        <v>33</v>
      </c>
      <c r="E113" s="309" t="s">
        <v>770</v>
      </c>
      <c r="G113" s="61">
        <f t="shared" si="29"/>
        <v>0.72727272727272729</v>
      </c>
      <c r="H113" s="61" t="e">
        <f t="shared" si="29"/>
        <v>#VALUE!</v>
      </c>
      <c r="N113"/>
      <c r="O113"/>
      <c r="P113"/>
      <c r="Q113"/>
      <c r="R113"/>
      <c r="S113"/>
      <c r="T113"/>
      <c r="U113"/>
      <c r="V113"/>
      <c r="W113"/>
      <c r="X113"/>
      <c r="Y113"/>
      <c r="Z113"/>
      <c r="AA113"/>
      <c r="AB113"/>
      <c r="AC113"/>
      <c r="AR113" s="274"/>
      <c r="AS113" s="274"/>
    </row>
    <row r="114" spans="1:45" ht="32.25" thickBot="1" x14ac:dyDescent="0.3">
      <c r="A114" s="297" t="s">
        <v>771</v>
      </c>
      <c r="B114" s="310">
        <v>25</v>
      </c>
      <c r="C114" s="308" t="s">
        <v>772</v>
      </c>
      <c r="D114" s="310">
        <v>33</v>
      </c>
      <c r="E114" s="309" t="s">
        <v>773</v>
      </c>
      <c r="G114" s="61">
        <f t="shared" si="29"/>
        <v>0.75757575757575757</v>
      </c>
      <c r="H114" s="61" t="e">
        <f t="shared" si="29"/>
        <v>#VALUE!</v>
      </c>
      <c r="N114"/>
      <c r="O114"/>
      <c r="P114"/>
      <c r="Q114"/>
      <c r="R114"/>
      <c r="S114"/>
      <c r="T114"/>
      <c r="U114"/>
      <c r="V114"/>
      <c r="W114"/>
      <c r="X114"/>
      <c r="Y114"/>
      <c r="Z114"/>
      <c r="AA114"/>
      <c r="AB114"/>
      <c r="AC114"/>
      <c r="AD114"/>
      <c r="AE114"/>
      <c r="AF114"/>
      <c r="AG114"/>
      <c r="AJ114"/>
      <c r="AK114"/>
      <c r="AR114" s="274"/>
      <c r="AS114" s="274"/>
    </row>
    <row r="115" spans="1:45" ht="16.5" thickBot="1" x14ac:dyDescent="0.3">
      <c r="A115" s="306" t="s">
        <v>774</v>
      </c>
      <c r="B115" s="307">
        <v>23</v>
      </c>
      <c r="C115" s="308" t="s">
        <v>775</v>
      </c>
      <c r="D115" s="307">
        <v>34</v>
      </c>
      <c r="E115" s="309" t="s">
        <v>776</v>
      </c>
      <c r="G115" s="61">
        <f t="shared" si="29"/>
        <v>0.67647058823529416</v>
      </c>
      <c r="H115" s="61" t="e">
        <f t="shared" si="29"/>
        <v>#VALUE!</v>
      </c>
      <c r="N115"/>
      <c r="O115"/>
      <c r="P115"/>
      <c r="Q115"/>
      <c r="R115"/>
      <c r="S115"/>
      <c r="T115"/>
      <c r="U115"/>
      <c r="V115"/>
      <c r="W115"/>
      <c r="X115"/>
      <c r="Y115"/>
      <c r="Z115"/>
      <c r="AA115"/>
      <c r="AB115"/>
      <c r="AC115"/>
      <c r="AD115" s="311">
        <v>2010</v>
      </c>
      <c r="AE115" s="311">
        <v>2018</v>
      </c>
      <c r="AF115" s="311">
        <v>2020</v>
      </c>
      <c r="AG115" s="311">
        <v>2030</v>
      </c>
      <c r="AH115" s="311">
        <v>2040</v>
      </c>
      <c r="AI115" s="311">
        <v>2050</v>
      </c>
      <c r="AR115" s="274"/>
      <c r="AS115" s="274"/>
    </row>
    <row r="116" spans="1:45" ht="16.5" thickBot="1" x14ac:dyDescent="0.3">
      <c r="A116" s="312" t="s">
        <v>777</v>
      </c>
      <c r="B116" s="313"/>
      <c r="C116" s="308"/>
      <c r="D116" s="313"/>
      <c r="E116" s="309"/>
      <c r="G116" s="61" t="e">
        <f t="shared" si="29"/>
        <v>#DIV/0!</v>
      </c>
      <c r="H116" s="61" t="e">
        <f t="shared" si="29"/>
        <v>#DIV/0!</v>
      </c>
      <c r="N116"/>
      <c r="O116"/>
      <c r="P116"/>
      <c r="Q116"/>
      <c r="R116"/>
      <c r="S116"/>
      <c r="T116"/>
      <c r="U116"/>
      <c r="V116"/>
      <c r="W116"/>
      <c r="X116"/>
      <c r="Y116"/>
      <c r="Z116"/>
      <c r="AA116"/>
      <c r="AB116"/>
      <c r="AC116"/>
      <c r="AD116" s="212">
        <f>AD27/AD20</f>
        <v>9.7268274932078516</v>
      </c>
      <c r="AE116" s="212">
        <f>(H26/H27)</f>
        <v>2.0232263513513513</v>
      </c>
      <c r="AF116" s="212">
        <f>AE27/AE20</f>
        <v>6.098467953773909</v>
      </c>
      <c r="AG116" s="212">
        <f>AG27/AG20</f>
        <v>4.8837511872228205</v>
      </c>
      <c r="AH116" s="212">
        <f>AI27/AI20</f>
        <v>1</v>
      </c>
      <c r="AI116" s="212">
        <f>AJ27/AJ20</f>
        <v>1</v>
      </c>
      <c r="AR116" s="274"/>
      <c r="AS116" s="274"/>
    </row>
    <row r="117" spans="1:45" ht="16.5" thickBot="1" x14ac:dyDescent="0.3">
      <c r="A117" s="306" t="s">
        <v>778</v>
      </c>
      <c r="B117" s="307">
        <v>16</v>
      </c>
      <c r="C117" s="308" t="s">
        <v>779</v>
      </c>
      <c r="D117" s="307">
        <v>20</v>
      </c>
      <c r="E117" s="309" t="s">
        <v>780</v>
      </c>
      <c r="G117" s="61">
        <f t="shared" si="29"/>
        <v>0.8</v>
      </c>
      <c r="H117" s="61" t="e">
        <f t="shared" si="29"/>
        <v>#VALUE!</v>
      </c>
      <c r="N117"/>
      <c r="O117"/>
      <c r="P117"/>
      <c r="Q117"/>
      <c r="R117"/>
      <c r="S117"/>
      <c r="T117"/>
      <c r="U117"/>
      <c r="V117"/>
      <c r="W117"/>
      <c r="X117"/>
      <c r="Y117"/>
      <c r="Z117"/>
      <c r="AA117"/>
      <c r="AB117"/>
      <c r="AC117"/>
      <c r="AR117" s="274"/>
      <c r="AS117" s="274"/>
    </row>
    <row r="118" spans="1:45" ht="16.5" thickBot="1" x14ac:dyDescent="0.3">
      <c r="A118" s="306" t="s">
        <v>781</v>
      </c>
      <c r="B118" s="307">
        <v>16</v>
      </c>
      <c r="C118" s="308" t="s">
        <v>782</v>
      </c>
      <c r="D118" s="307">
        <v>22</v>
      </c>
      <c r="E118" s="309" t="s">
        <v>783</v>
      </c>
      <c r="G118" s="61">
        <f t="shared" si="29"/>
        <v>0.72727272727272729</v>
      </c>
      <c r="H118" s="61" t="e">
        <f t="shared" si="29"/>
        <v>#VALUE!</v>
      </c>
      <c r="N118"/>
      <c r="O118"/>
      <c r="P118"/>
      <c r="Q118"/>
      <c r="R118"/>
      <c r="S118"/>
      <c r="T118"/>
      <c r="U118"/>
      <c r="V118"/>
      <c r="W118"/>
      <c r="X118"/>
      <c r="Y118"/>
      <c r="Z118"/>
      <c r="AA118"/>
      <c r="AB118"/>
      <c r="AC118"/>
      <c r="AD118"/>
      <c r="AE118"/>
      <c r="AF118"/>
      <c r="AG118"/>
      <c r="AH118"/>
      <c r="AI118"/>
      <c r="AJ118"/>
      <c r="AK118"/>
      <c r="AR118" s="274"/>
      <c r="AS118" s="274"/>
    </row>
    <row r="119" spans="1:45" ht="16.5" thickBot="1" x14ac:dyDescent="0.3">
      <c r="A119" s="306" t="s">
        <v>784</v>
      </c>
      <c r="B119" s="307">
        <v>15</v>
      </c>
      <c r="C119" s="308" t="s">
        <v>785</v>
      </c>
      <c r="D119" s="307">
        <v>19</v>
      </c>
      <c r="E119" s="309" t="s">
        <v>786</v>
      </c>
      <c r="G119" s="61">
        <f t="shared" si="29"/>
        <v>0.78947368421052633</v>
      </c>
      <c r="H119" s="61" t="e">
        <f t="shared" si="29"/>
        <v>#VALUE!</v>
      </c>
      <c r="N119"/>
      <c r="O119"/>
      <c r="P119"/>
      <c r="Q119"/>
      <c r="R119"/>
      <c r="S119"/>
      <c r="U119" s="314" t="s">
        <v>787</v>
      </c>
      <c r="V119" s="955"/>
      <c r="W119" s="955"/>
      <c r="X119" s="955"/>
      <c r="Y119" s="955"/>
      <c r="Z119" s="955"/>
      <c r="AA119" s="955"/>
      <c r="AB119" s="955"/>
      <c r="AC119" s="955"/>
      <c r="AD119" s="315"/>
      <c r="AE119" s="316"/>
      <c r="AF119" s="316"/>
      <c r="AG119" s="316"/>
      <c r="AH119" s="316"/>
      <c r="AI119" s="315"/>
      <c r="AJ119" s="317"/>
      <c r="AK119"/>
      <c r="AR119" s="274"/>
      <c r="AS119" s="274"/>
    </row>
    <row r="120" spans="1:45" ht="16.5" thickBot="1" x14ac:dyDescent="0.3">
      <c r="A120" s="306" t="s">
        <v>788</v>
      </c>
      <c r="B120" s="307">
        <v>17</v>
      </c>
      <c r="C120" s="308" t="s">
        <v>789</v>
      </c>
      <c r="D120" s="307">
        <v>21</v>
      </c>
      <c r="E120" s="309" t="s">
        <v>790</v>
      </c>
      <c r="G120" s="61">
        <f t="shared" si="29"/>
        <v>0.80952380952380953</v>
      </c>
      <c r="H120" s="61" t="e">
        <f t="shared" si="29"/>
        <v>#VALUE!</v>
      </c>
      <c r="N120"/>
      <c r="O120"/>
      <c r="P120"/>
      <c r="Q120"/>
      <c r="R120"/>
      <c r="S120"/>
      <c r="U120" s="318" t="s">
        <v>791</v>
      </c>
      <c r="V120" s="318"/>
      <c r="W120" s="318"/>
      <c r="X120" s="318"/>
      <c r="Y120" s="318"/>
      <c r="Z120" s="318"/>
      <c r="AA120" s="318"/>
      <c r="AB120" s="318"/>
      <c r="AC120" s="318"/>
      <c r="AD120" s="311">
        <v>2010</v>
      </c>
      <c r="AE120" s="311">
        <v>2020</v>
      </c>
      <c r="AF120" s="311"/>
      <c r="AG120" s="311">
        <v>2030</v>
      </c>
      <c r="AH120" s="311"/>
      <c r="AI120" s="311">
        <v>2040</v>
      </c>
      <c r="AJ120" s="311">
        <v>2050</v>
      </c>
      <c r="AK120"/>
      <c r="AR120" s="274"/>
      <c r="AS120" s="274"/>
    </row>
    <row r="121" spans="1:45" ht="16.5" thickBot="1" x14ac:dyDescent="0.3">
      <c r="A121" s="306" t="s">
        <v>792</v>
      </c>
      <c r="B121" s="307">
        <v>16</v>
      </c>
      <c r="C121" s="308" t="s">
        <v>793</v>
      </c>
      <c r="D121" s="307">
        <v>22</v>
      </c>
      <c r="E121" s="309" t="s">
        <v>794</v>
      </c>
      <c r="G121" s="61">
        <f t="shared" si="29"/>
        <v>0.72727272727272729</v>
      </c>
      <c r="H121" s="61" t="e">
        <f t="shared" si="29"/>
        <v>#VALUE!</v>
      </c>
      <c r="N121"/>
      <c r="O121"/>
      <c r="P121"/>
      <c r="Q121"/>
      <c r="R121"/>
      <c r="S121"/>
      <c r="U121" s="319" t="s">
        <v>795</v>
      </c>
      <c r="V121" s="319"/>
      <c r="W121" s="319"/>
      <c r="X121" s="319"/>
      <c r="Y121" s="319"/>
      <c r="Z121" s="319"/>
      <c r="AA121" s="319"/>
      <c r="AB121" s="319"/>
      <c r="AC121" s="319"/>
      <c r="AD121" s="320">
        <v>11397.369670152857</v>
      </c>
      <c r="AE121" s="320">
        <v>11397.369670152857</v>
      </c>
      <c r="AF121" s="320"/>
      <c r="AG121" s="320">
        <v>11397.369670152857</v>
      </c>
      <c r="AH121" s="320"/>
      <c r="AI121" s="320">
        <v>11397.369670152857</v>
      </c>
      <c r="AJ121" s="320">
        <v>11397.369670152857</v>
      </c>
      <c r="AK121"/>
      <c r="AR121" s="274"/>
      <c r="AS121" s="274"/>
    </row>
    <row r="122" spans="1:45" ht="16.5" thickBot="1" x14ac:dyDescent="0.3">
      <c r="A122" s="321" t="s">
        <v>745</v>
      </c>
      <c r="B122" s="313"/>
      <c r="C122" s="308"/>
      <c r="D122" s="313"/>
      <c r="E122" s="309"/>
      <c r="G122" s="61" t="e">
        <f t="shared" si="29"/>
        <v>#DIV/0!</v>
      </c>
      <c r="H122" s="61" t="e">
        <f t="shared" si="29"/>
        <v>#DIV/0!</v>
      </c>
      <c r="N122"/>
      <c r="O122"/>
      <c r="P122"/>
      <c r="Q122"/>
      <c r="R122"/>
      <c r="S122"/>
      <c r="U122" s="319" t="s">
        <v>796</v>
      </c>
      <c r="V122" s="319"/>
      <c r="W122" s="319"/>
      <c r="X122" s="319"/>
      <c r="Y122" s="319"/>
      <c r="Z122" s="319"/>
      <c r="AA122" s="319"/>
      <c r="AB122" s="319"/>
      <c r="AC122" s="319"/>
      <c r="AD122" s="320">
        <v>4325.1030927835054</v>
      </c>
      <c r="AE122" s="320">
        <v>2671.4241637609025</v>
      </c>
      <c r="AF122" s="320"/>
      <c r="AG122" s="320">
        <v>1895.6429596763671</v>
      </c>
      <c r="AH122" s="320"/>
      <c r="AI122" s="320">
        <v>1722.8429596763672</v>
      </c>
      <c r="AJ122" s="320">
        <v>1584.6029596763672</v>
      </c>
      <c r="AK122"/>
      <c r="AR122" s="274"/>
      <c r="AS122" s="274"/>
    </row>
    <row r="123" spans="1:45" ht="32.25" thickBot="1" x14ac:dyDescent="0.3">
      <c r="A123" s="306" t="s">
        <v>797</v>
      </c>
      <c r="B123" s="307">
        <v>13</v>
      </c>
      <c r="C123" s="308" t="s">
        <v>798</v>
      </c>
      <c r="D123" s="307">
        <v>15</v>
      </c>
      <c r="E123" s="309" t="s">
        <v>799</v>
      </c>
      <c r="G123" s="61">
        <f t="shared" si="29"/>
        <v>0.8666666666666667</v>
      </c>
      <c r="H123" s="61" t="e">
        <f t="shared" si="29"/>
        <v>#VALUE!</v>
      </c>
      <c r="N123"/>
      <c r="O123"/>
      <c r="P123"/>
      <c r="Q123"/>
      <c r="R123"/>
      <c r="S123"/>
      <c r="U123" s="319" t="s">
        <v>800</v>
      </c>
      <c r="V123" s="319"/>
      <c r="W123" s="319"/>
      <c r="X123" s="319"/>
      <c r="Y123" s="319"/>
      <c r="Z123" s="319"/>
      <c r="AA123" s="319"/>
      <c r="AB123" s="319"/>
      <c r="AC123" s="319"/>
      <c r="AD123" s="320">
        <v>20516.123958396958</v>
      </c>
      <c r="AE123" s="320">
        <v>10321.343218432934</v>
      </c>
      <c r="AF123" s="320"/>
      <c r="AG123" s="320">
        <v>6664.450612276908</v>
      </c>
      <c r="AH123" s="320"/>
      <c r="AI123" s="320">
        <v>6947.4020113231627</v>
      </c>
      <c r="AJ123" s="320">
        <v>7085.5672178836048</v>
      </c>
      <c r="AK123"/>
      <c r="AR123" s="274"/>
      <c r="AS123" s="274"/>
    </row>
    <row r="124" spans="1:45" ht="16.5" thickBot="1" x14ac:dyDescent="0.3">
      <c r="A124" s="306" t="s">
        <v>801</v>
      </c>
      <c r="B124" s="307">
        <v>13</v>
      </c>
      <c r="C124" s="308" t="s">
        <v>802</v>
      </c>
      <c r="D124" s="307">
        <v>15</v>
      </c>
      <c r="E124" s="309" t="s">
        <v>803</v>
      </c>
      <c r="G124" s="61">
        <f t="shared" si="29"/>
        <v>0.8666666666666667</v>
      </c>
      <c r="H124" s="61" t="e">
        <f t="shared" si="29"/>
        <v>#VALUE!</v>
      </c>
      <c r="N124"/>
      <c r="O124"/>
      <c r="P124"/>
      <c r="Q124"/>
      <c r="R124"/>
      <c r="S124"/>
      <c r="U124" s="319" t="s">
        <v>804</v>
      </c>
      <c r="V124" s="319"/>
      <c r="W124" s="319"/>
      <c r="X124" s="319"/>
      <c r="Y124" s="319"/>
      <c r="Z124" s="319"/>
      <c r="AA124" s="319"/>
      <c r="AB124" s="319"/>
      <c r="AC124" s="319"/>
      <c r="AD124" s="320">
        <v>0</v>
      </c>
      <c r="AE124" s="320">
        <v>0</v>
      </c>
      <c r="AF124" s="320"/>
      <c r="AG124" s="320">
        <v>0</v>
      </c>
      <c r="AH124" s="320"/>
      <c r="AI124" s="320">
        <v>0</v>
      </c>
      <c r="AJ124" s="320">
        <v>0</v>
      </c>
      <c r="AK124"/>
      <c r="AR124" s="274"/>
      <c r="AS124" s="274"/>
    </row>
    <row r="125" spans="1:45" ht="16.5" thickBot="1" x14ac:dyDescent="0.3">
      <c r="A125" s="306" t="s">
        <v>805</v>
      </c>
      <c r="B125" s="307">
        <v>12</v>
      </c>
      <c r="C125" s="308" t="s">
        <v>806</v>
      </c>
      <c r="D125" s="307">
        <v>14</v>
      </c>
      <c r="E125" s="309" t="s">
        <v>807</v>
      </c>
      <c r="G125" s="61">
        <f t="shared" si="29"/>
        <v>0.8571428571428571</v>
      </c>
      <c r="H125" s="61" t="e">
        <f t="shared" si="29"/>
        <v>#VALUE!</v>
      </c>
      <c r="N125"/>
      <c r="O125"/>
      <c r="P125"/>
      <c r="Q125"/>
      <c r="R125"/>
      <c r="S125"/>
      <c r="U125" s="319" t="s">
        <v>808</v>
      </c>
      <c r="V125" s="319"/>
      <c r="W125" s="319"/>
      <c r="X125" s="319"/>
      <c r="Y125" s="319"/>
      <c r="Z125" s="319"/>
      <c r="AA125" s="319"/>
      <c r="AB125" s="319"/>
      <c r="AC125" s="319"/>
      <c r="AD125" s="320">
        <v>0</v>
      </c>
      <c r="AE125" s="320">
        <v>8.9453706281175727</v>
      </c>
      <c r="AF125" s="320"/>
      <c r="AG125" s="320">
        <v>20.952492987800643</v>
      </c>
      <c r="AH125" s="320"/>
      <c r="AI125" s="320">
        <v>25.793675678662378</v>
      </c>
      <c r="AJ125" s="320">
        <v>27.725005798971225</v>
      </c>
      <c r="AK125"/>
      <c r="AR125" s="274"/>
      <c r="AS125" s="274"/>
    </row>
    <row r="126" spans="1:45" ht="16.5" thickBot="1" x14ac:dyDescent="0.3">
      <c r="A126" s="306" t="s">
        <v>809</v>
      </c>
      <c r="B126" s="307">
        <v>13</v>
      </c>
      <c r="C126" s="308" t="s">
        <v>810</v>
      </c>
      <c r="D126" s="307">
        <v>15</v>
      </c>
      <c r="E126" s="309" t="s">
        <v>811</v>
      </c>
      <c r="G126" s="61">
        <f t="shared" si="29"/>
        <v>0.8666666666666667</v>
      </c>
      <c r="H126" s="61" t="e">
        <f t="shared" si="29"/>
        <v>#VALUE!</v>
      </c>
      <c r="N126"/>
      <c r="O126"/>
      <c r="P126"/>
      <c r="Q126"/>
      <c r="R126"/>
      <c r="S126"/>
      <c r="U126" s="319" t="s">
        <v>812</v>
      </c>
      <c r="V126" s="319"/>
      <c r="W126" s="319"/>
      <c r="X126" s="319"/>
      <c r="Y126" s="319"/>
      <c r="Z126" s="319"/>
      <c r="AA126" s="319"/>
      <c r="AB126" s="319"/>
      <c r="AC126" s="319"/>
      <c r="AD126" s="320">
        <v>0</v>
      </c>
      <c r="AE126" s="320">
        <v>18.764296648724834</v>
      </c>
      <c r="AF126" s="320"/>
      <c r="AG126" s="320">
        <v>17.385645895502968</v>
      </c>
      <c r="AH126" s="320"/>
      <c r="AI126" s="320">
        <v>16.734089353993042</v>
      </c>
      <c r="AJ126" s="320">
        <v>16.302594462013452</v>
      </c>
      <c r="AK126"/>
      <c r="AR126" s="274"/>
      <c r="AS126" s="274"/>
    </row>
    <row r="127" spans="1:45" ht="15.75" x14ac:dyDescent="0.25">
      <c r="A127" s="322"/>
      <c r="B127" s="323"/>
      <c r="C127" s="324"/>
      <c r="D127" s="323"/>
      <c r="E127" s="322"/>
      <c r="N127"/>
      <c r="O127"/>
      <c r="P127"/>
      <c r="Q127"/>
      <c r="R127"/>
      <c r="S127"/>
      <c r="U127" s="319" t="s">
        <v>813</v>
      </c>
      <c r="V127" s="319"/>
      <c r="W127" s="319"/>
      <c r="X127" s="319"/>
      <c r="Y127" s="319"/>
      <c r="Z127" s="319"/>
      <c r="AA127" s="319"/>
      <c r="AB127" s="319"/>
      <c r="AC127" s="319"/>
      <c r="AD127" s="320">
        <v>0</v>
      </c>
      <c r="AE127" s="320">
        <v>96.680326472614169</v>
      </c>
      <c r="AF127" s="320"/>
      <c r="AG127" s="320">
        <v>158.46373746443086</v>
      </c>
      <c r="AH127" s="320"/>
      <c r="AI127" s="320">
        <v>280.2703552373747</v>
      </c>
      <c r="AJ127" s="320">
        <v>410.49323104529975</v>
      </c>
      <c r="AK127"/>
      <c r="AR127" s="274"/>
      <c r="AS127" s="274"/>
    </row>
    <row r="128" spans="1:45" x14ac:dyDescent="0.25">
      <c r="N128"/>
      <c r="O128"/>
      <c r="P128"/>
      <c r="Q128"/>
      <c r="R128"/>
      <c r="S128"/>
      <c r="U128" s="319" t="s">
        <v>814</v>
      </c>
      <c r="V128" s="319"/>
      <c r="W128" s="319"/>
      <c r="X128" s="319"/>
      <c r="Y128" s="319"/>
      <c r="Z128" s="319"/>
      <c r="AA128" s="319"/>
      <c r="AB128" s="319"/>
      <c r="AC128" s="319"/>
      <c r="AD128" s="320">
        <v>0</v>
      </c>
      <c r="AE128" s="320">
        <v>88.489721534076395</v>
      </c>
      <c r="AF128" s="320"/>
      <c r="AG128" s="320">
        <v>219.26930496828516</v>
      </c>
      <c r="AH128" s="320"/>
      <c r="AI128" s="320">
        <v>257.49171484357635</v>
      </c>
      <c r="AJ128" s="320">
        <v>266.18798500621233</v>
      </c>
      <c r="AK128"/>
      <c r="AR128" s="274"/>
      <c r="AS128" s="274"/>
    </row>
    <row r="129" spans="14:45" x14ac:dyDescent="0.25">
      <c r="N129"/>
      <c r="O129"/>
      <c r="P129"/>
      <c r="Q129"/>
      <c r="R129"/>
      <c r="S129"/>
      <c r="U129" s="319" t="s">
        <v>815</v>
      </c>
      <c r="V129" s="319"/>
      <c r="W129" s="319"/>
      <c r="X129" s="319"/>
      <c r="Y129" s="319"/>
      <c r="Z129" s="319"/>
      <c r="AA129" s="319"/>
      <c r="AB129" s="319"/>
      <c r="AC129" s="319"/>
      <c r="AD129" s="320" t="s">
        <v>815</v>
      </c>
      <c r="AE129" s="320" t="s">
        <v>815</v>
      </c>
      <c r="AF129" s="320"/>
      <c r="AG129" s="320" t="s">
        <v>815</v>
      </c>
      <c r="AH129" s="320"/>
      <c r="AI129" s="320" t="s">
        <v>815</v>
      </c>
      <c r="AJ129" s="320" t="s">
        <v>815</v>
      </c>
      <c r="AK129"/>
      <c r="AR129" s="274"/>
      <c r="AS129" s="274"/>
    </row>
    <row r="130" spans="14:45" x14ac:dyDescent="0.25">
      <c r="N130"/>
      <c r="O130"/>
      <c r="P130"/>
      <c r="Q130"/>
      <c r="R130"/>
      <c r="S130"/>
      <c r="U130" s="325" t="s">
        <v>193</v>
      </c>
      <c r="V130" s="325"/>
      <c r="W130" s="325"/>
      <c r="X130" s="325"/>
      <c r="Y130" s="325"/>
      <c r="Z130" s="325"/>
      <c r="AA130" s="325"/>
      <c r="AB130" s="325"/>
      <c r="AC130" s="325"/>
      <c r="AD130" s="326">
        <v>36238.596721333321</v>
      </c>
      <c r="AE130" s="326">
        <v>24603.016767630226</v>
      </c>
      <c r="AF130" s="326"/>
      <c r="AG130" s="326">
        <v>20373.534423422148</v>
      </c>
      <c r="AH130" s="326"/>
      <c r="AI130" s="326">
        <v>20647.904476265994</v>
      </c>
      <c r="AJ130" s="326">
        <v>20788.248664025326</v>
      </c>
      <c r="AK130"/>
      <c r="AR130" s="274"/>
      <c r="AS130" s="274"/>
    </row>
    <row r="131" spans="14:45" x14ac:dyDescent="0.25">
      <c r="N131"/>
      <c r="O131"/>
      <c r="P131"/>
      <c r="Q131"/>
      <c r="R131"/>
      <c r="S131"/>
      <c r="U131" s="327" t="s">
        <v>816</v>
      </c>
      <c r="V131" s="956"/>
      <c r="W131" s="956"/>
      <c r="X131" s="956"/>
      <c r="Y131" s="956"/>
      <c r="Z131" s="956"/>
      <c r="AA131" s="956"/>
      <c r="AB131" s="956"/>
      <c r="AC131" s="956"/>
      <c r="AD131" s="328" t="s">
        <v>817</v>
      </c>
      <c r="AE131" s="329"/>
      <c r="AF131" s="329"/>
      <c r="AG131" s="329"/>
      <c r="AH131" s="329"/>
      <c r="AI131" s="329"/>
      <c r="AJ131" s="329"/>
      <c r="AK131"/>
      <c r="AR131" s="274"/>
      <c r="AS131" s="274"/>
    </row>
    <row r="132" spans="14:45" x14ac:dyDescent="0.25">
      <c r="N132"/>
      <c r="O132"/>
      <c r="P132"/>
      <c r="Q132"/>
      <c r="R132"/>
      <c r="S132"/>
      <c r="U132" s="318" t="s">
        <v>659</v>
      </c>
      <c r="V132" s="318"/>
      <c r="W132" s="318"/>
      <c r="X132" s="318"/>
      <c r="Y132" s="318"/>
      <c r="Z132" s="318"/>
      <c r="AA132" s="318"/>
      <c r="AB132" s="318"/>
      <c r="AC132" s="318"/>
      <c r="AD132" s="318">
        <v>2010</v>
      </c>
      <c r="AE132" s="318">
        <v>2020</v>
      </c>
      <c r="AF132" s="318"/>
      <c r="AG132" s="318">
        <v>2030</v>
      </c>
      <c r="AH132" s="318"/>
      <c r="AI132" s="318">
        <v>2040</v>
      </c>
      <c r="AJ132" s="318">
        <v>2050</v>
      </c>
      <c r="AK132"/>
      <c r="AR132" s="274"/>
      <c r="AS132" s="274"/>
    </row>
    <row r="133" spans="14:45" x14ac:dyDescent="0.25">
      <c r="N133"/>
      <c r="O133"/>
      <c r="P133"/>
      <c r="Q133"/>
      <c r="R133"/>
      <c r="S133"/>
      <c r="U133" s="319" t="s">
        <v>663</v>
      </c>
      <c r="V133" s="319"/>
      <c r="W133" s="319"/>
      <c r="X133" s="319"/>
      <c r="Y133" s="319"/>
      <c r="Z133" s="319"/>
      <c r="AA133" s="319"/>
      <c r="AB133" s="319"/>
      <c r="AC133" s="319"/>
      <c r="AD133" s="330">
        <v>0.693962607442839</v>
      </c>
      <c r="AE133" s="330">
        <v>0.62851040218398957</v>
      </c>
      <c r="AF133" s="330"/>
      <c r="AG133" s="330">
        <v>0.57642485729714654</v>
      </c>
      <c r="AH133" s="330"/>
      <c r="AI133" s="330">
        <v>0.54803234670758638</v>
      </c>
      <c r="AJ133" s="330">
        <v>0.51817442685442938</v>
      </c>
      <c r="AK133"/>
      <c r="AR133" s="274"/>
      <c r="AS133" s="274"/>
    </row>
    <row r="134" spans="14:45" x14ac:dyDescent="0.25">
      <c r="N134"/>
      <c r="O134"/>
      <c r="P134"/>
      <c r="Q134"/>
      <c r="R134"/>
      <c r="S134"/>
      <c r="U134" s="319" t="s">
        <v>818</v>
      </c>
      <c r="V134" s="319"/>
      <c r="W134" s="319"/>
      <c r="X134" s="319"/>
      <c r="Y134" s="319"/>
      <c r="Z134" s="319"/>
      <c r="AA134" s="319"/>
      <c r="AB134" s="319"/>
      <c r="AC134" s="319"/>
      <c r="AD134" s="330">
        <v>0</v>
      </c>
      <c r="AE134" s="330">
        <v>1.3575641257771031E-2</v>
      </c>
      <c r="AF134" s="330"/>
      <c r="AG134" s="330">
        <v>2.6931390587293953E-2</v>
      </c>
      <c r="AH134" s="330"/>
      <c r="AI134" s="330">
        <v>4.0071060917710608E-2</v>
      </c>
      <c r="AJ134" s="330">
        <v>5.3113118258794126E-2</v>
      </c>
      <c r="AK134"/>
      <c r="AR134" s="274"/>
      <c r="AS134" s="274"/>
    </row>
    <row r="135" spans="14:45" x14ac:dyDescent="0.25">
      <c r="N135"/>
      <c r="O135"/>
      <c r="P135"/>
      <c r="Q135"/>
      <c r="R135"/>
      <c r="S135"/>
      <c r="U135" s="319" t="s">
        <v>804</v>
      </c>
      <c r="V135" s="319"/>
      <c r="W135" s="319"/>
      <c r="X135" s="319"/>
      <c r="Y135" s="319"/>
      <c r="Z135" s="319"/>
      <c r="AA135" s="319"/>
      <c r="AB135" s="319"/>
      <c r="AC135" s="319"/>
      <c r="AD135" s="330">
        <v>0</v>
      </c>
      <c r="AE135" s="330">
        <v>0</v>
      </c>
      <c r="AF135" s="330"/>
      <c r="AG135" s="330">
        <v>0</v>
      </c>
      <c r="AH135" s="330"/>
      <c r="AI135" s="330">
        <v>0</v>
      </c>
      <c r="AJ135" s="330">
        <v>0</v>
      </c>
      <c r="AK135"/>
      <c r="AR135" s="274"/>
      <c r="AS135" s="274"/>
    </row>
    <row r="136" spans="14:45" x14ac:dyDescent="0.25">
      <c r="N136"/>
      <c r="O136"/>
      <c r="P136"/>
      <c r="Q136"/>
      <c r="R136"/>
      <c r="S136"/>
      <c r="U136" s="319" t="s">
        <v>808</v>
      </c>
      <c r="V136" s="319"/>
      <c r="W136" s="319"/>
      <c r="X136" s="319"/>
      <c r="Y136" s="319"/>
      <c r="Z136" s="319"/>
      <c r="AA136" s="319"/>
      <c r="AB136" s="319"/>
      <c r="AC136" s="319"/>
      <c r="AD136" s="330">
        <v>0</v>
      </c>
      <c r="AE136" s="330">
        <v>2.9883677083482134E-3</v>
      </c>
      <c r="AF136" s="330"/>
      <c r="AG136" s="330">
        <v>7.6702475362843978E-3</v>
      </c>
      <c r="AH136" s="330"/>
      <c r="AI136" s="330">
        <v>9.9023689878556705E-3</v>
      </c>
      <c r="AJ136" s="330">
        <v>1.0950376546092409E-2</v>
      </c>
      <c r="AK136"/>
      <c r="AR136" s="274"/>
      <c r="AS136" s="274"/>
    </row>
    <row r="137" spans="14:45" x14ac:dyDescent="0.25">
      <c r="N137"/>
      <c r="O137"/>
      <c r="P137"/>
      <c r="Q137"/>
      <c r="R137"/>
      <c r="S137"/>
      <c r="U137" s="319" t="s">
        <v>812</v>
      </c>
      <c r="V137" s="319"/>
      <c r="W137" s="319"/>
      <c r="X137" s="319"/>
      <c r="Y137" s="319"/>
      <c r="Z137" s="319"/>
      <c r="AA137" s="319"/>
      <c r="AB137" s="319"/>
      <c r="AC137" s="319"/>
      <c r="AD137" s="330">
        <v>0</v>
      </c>
      <c r="AE137" s="330">
        <v>1.6321610603652417E-2</v>
      </c>
      <c r="AF137" s="330"/>
      <c r="AG137" s="330">
        <v>1.5999293476344708E-2</v>
      </c>
      <c r="AH137" s="330"/>
      <c r="AI137" s="330">
        <v>1.5739274620495722E-2</v>
      </c>
      <c r="AJ137" s="330">
        <v>1.5545253345222798E-2</v>
      </c>
      <c r="AK137"/>
      <c r="AR137" s="274"/>
      <c r="AS137" s="274"/>
    </row>
    <row r="138" spans="14:45" x14ac:dyDescent="0.25">
      <c r="N138"/>
      <c r="O138"/>
      <c r="P138"/>
      <c r="Q138"/>
      <c r="R138"/>
      <c r="S138"/>
      <c r="U138" s="319" t="s">
        <v>813</v>
      </c>
      <c r="V138" s="319"/>
      <c r="W138" s="319"/>
      <c r="X138" s="319"/>
      <c r="Y138" s="319"/>
      <c r="Z138" s="319"/>
      <c r="AA138" s="319"/>
      <c r="AB138" s="319"/>
      <c r="AC138" s="319"/>
      <c r="AD138" s="330">
        <v>0</v>
      </c>
      <c r="AE138" s="330">
        <v>1.1763752877724343E-2</v>
      </c>
      <c r="AF138" s="330"/>
      <c r="AG138" s="330">
        <v>2.0723241302606065E-2</v>
      </c>
      <c r="AH138" s="330"/>
      <c r="AI138" s="330">
        <v>3.9372481044012829E-2</v>
      </c>
      <c r="AJ138" s="330">
        <v>6.3066386807392419E-2</v>
      </c>
      <c r="AK138"/>
      <c r="AR138" s="274"/>
      <c r="AS138" s="274"/>
    </row>
    <row r="139" spans="14:45" x14ac:dyDescent="0.25">
      <c r="N139"/>
      <c r="O139"/>
      <c r="P139"/>
      <c r="Q139"/>
      <c r="R139"/>
      <c r="S139"/>
      <c r="U139" s="319" t="s">
        <v>814</v>
      </c>
      <c r="V139" s="319"/>
      <c r="W139" s="319"/>
      <c r="X139" s="319"/>
      <c r="Y139" s="319"/>
      <c r="Z139" s="319"/>
      <c r="AA139" s="319"/>
      <c r="AB139" s="319"/>
      <c r="AC139" s="319"/>
      <c r="AD139" s="330">
        <v>0</v>
      </c>
      <c r="AE139" s="330">
        <v>2.3471342820149014E-2</v>
      </c>
      <c r="AF139" s="330"/>
      <c r="AG139" s="330">
        <v>5.3489836104930751E-2</v>
      </c>
      <c r="AH139" s="330"/>
      <c r="AI139" s="330">
        <v>5.2659006815223564E-2</v>
      </c>
      <c r="AJ139" s="330">
        <v>5.0932822377237223E-2</v>
      </c>
      <c r="AK139"/>
      <c r="AR139" s="274"/>
      <c r="AS139" s="274"/>
    </row>
    <row r="140" spans="14:45" x14ac:dyDescent="0.25">
      <c r="N140"/>
      <c r="O140"/>
      <c r="P140"/>
      <c r="Q140"/>
      <c r="R140"/>
      <c r="S140"/>
      <c r="U140" s="325" t="s">
        <v>193</v>
      </c>
      <c r="V140" s="325"/>
      <c r="W140" s="325"/>
      <c r="X140" s="325"/>
      <c r="Y140" s="325"/>
      <c r="Z140" s="325"/>
      <c r="AA140" s="325"/>
      <c r="AB140" s="325"/>
      <c r="AC140" s="325"/>
      <c r="AD140" s="331">
        <v>0.693962607442839</v>
      </c>
      <c r="AE140" s="331">
        <v>0.69663111745163464</v>
      </c>
      <c r="AF140" s="331"/>
      <c r="AG140" s="331">
        <v>0.70123886630460641</v>
      </c>
      <c r="AH140" s="331"/>
      <c r="AI140" s="331">
        <v>0.70577653909288474</v>
      </c>
      <c r="AJ140" s="331">
        <v>0.71178238418916839</v>
      </c>
      <c r="AK140"/>
      <c r="AR140" s="274"/>
      <c r="AS140" s="274"/>
    </row>
    <row r="141" spans="14:45" x14ac:dyDescent="0.25">
      <c r="N141"/>
      <c r="O141"/>
      <c r="P141"/>
      <c r="Q141"/>
      <c r="R141"/>
      <c r="S141"/>
      <c r="U141" s="332" t="s">
        <v>819</v>
      </c>
      <c r="V141" s="332"/>
      <c r="W141" s="332"/>
      <c r="X141" s="332"/>
      <c r="Y141" s="332"/>
      <c r="Z141" s="332"/>
      <c r="AA141" s="332"/>
      <c r="AB141" s="332"/>
      <c r="AC141" s="332"/>
      <c r="AD141" s="333">
        <v>0.24600000000000002</v>
      </c>
      <c r="AE141" s="333">
        <v>0.25079127179951577</v>
      </c>
      <c r="AF141" s="333"/>
      <c r="AG141" s="333">
        <v>0.25906441938589464</v>
      </c>
      <c r="AH141" s="333"/>
      <c r="AI141" s="333">
        <v>0.26721174639394329</v>
      </c>
      <c r="AJ141" s="333">
        <v>0.2779951559173241</v>
      </c>
      <c r="AK141"/>
      <c r="AR141" s="274"/>
      <c r="AS141" s="274"/>
    </row>
    <row r="142" spans="14:45" x14ac:dyDescent="0.25">
      <c r="N142"/>
      <c r="O142"/>
      <c r="P142"/>
      <c r="Q142"/>
      <c r="R142"/>
      <c r="S142"/>
      <c r="U142" s="332"/>
      <c r="V142" s="332"/>
      <c r="W142" s="332"/>
      <c r="X142" s="332"/>
      <c r="Y142" s="332"/>
      <c r="Z142" s="332"/>
      <c r="AA142" s="332"/>
      <c r="AB142" s="332"/>
      <c r="AC142" s="332"/>
      <c r="AD142" s="333"/>
      <c r="AE142" s="333"/>
      <c r="AF142" s="333"/>
      <c r="AG142" s="333"/>
      <c r="AH142" s="333"/>
      <c r="AI142" s="333"/>
      <c r="AJ142" s="333"/>
      <c r="AK142"/>
      <c r="AR142" s="274"/>
      <c r="AS142" s="274"/>
    </row>
    <row r="143" spans="14:45" x14ac:dyDescent="0.25">
      <c r="N143"/>
      <c r="O143"/>
      <c r="P143"/>
      <c r="Q143"/>
      <c r="R143"/>
      <c r="S143"/>
      <c r="U143" t="s">
        <v>820</v>
      </c>
      <c r="V143"/>
      <c r="W143"/>
      <c r="X143"/>
      <c r="Y143"/>
      <c r="Z143"/>
      <c r="AA143"/>
      <c r="AB143"/>
      <c r="AC143"/>
      <c r="AD143" s="334">
        <f>AD123/AD130</f>
        <v>0.56614013274745012</v>
      </c>
      <c r="AE143" s="334">
        <f t="shared" ref="AE143:AJ143" si="30">AE123/AE130</f>
        <v>0.41951535114232619</v>
      </c>
      <c r="AF143" s="334"/>
      <c r="AG143" s="334">
        <f t="shared" si="30"/>
        <v>0.32711312989538111</v>
      </c>
      <c r="AH143" s="334"/>
      <c r="AI143" s="334">
        <f t="shared" si="30"/>
        <v>0.33647007711164806</v>
      </c>
      <c r="AJ143" s="334">
        <f t="shared" si="30"/>
        <v>0.34084483654197317</v>
      </c>
      <c r="AK143"/>
      <c r="AR143" s="274"/>
      <c r="AS143" s="274"/>
    </row>
    <row r="144" spans="14:45" x14ac:dyDescent="0.25">
      <c r="N144"/>
      <c r="O144"/>
      <c r="P144"/>
      <c r="Q144"/>
      <c r="R144"/>
      <c r="S144"/>
      <c r="T144"/>
      <c r="U144"/>
      <c r="V144"/>
      <c r="W144"/>
      <c r="X144"/>
      <c r="Y144"/>
      <c r="Z144"/>
      <c r="AA144"/>
      <c r="AB144"/>
      <c r="AC144"/>
      <c r="AD144"/>
      <c r="AE144"/>
      <c r="AF144"/>
      <c r="AG144"/>
      <c r="AH144"/>
      <c r="AI144"/>
      <c r="AJ144"/>
      <c r="AK144"/>
      <c r="AL144"/>
      <c r="AR144" s="274"/>
      <c r="AS144" s="274"/>
    </row>
    <row r="145" spans="1:45" x14ac:dyDescent="0.25">
      <c r="N145"/>
      <c r="O145"/>
      <c r="P145"/>
      <c r="Q145"/>
      <c r="R145"/>
      <c r="S145"/>
      <c r="T145"/>
      <c r="U145"/>
      <c r="V145"/>
      <c r="W145"/>
      <c r="X145"/>
      <c r="Y145"/>
      <c r="Z145"/>
      <c r="AA145"/>
      <c r="AB145"/>
      <c r="AC145"/>
      <c r="AD145"/>
      <c r="AE145"/>
      <c r="AF145"/>
      <c r="AG145"/>
      <c r="AH145"/>
      <c r="AI145"/>
      <c r="AJ145"/>
      <c r="AK145"/>
      <c r="AL145"/>
      <c r="AR145" s="274"/>
      <c r="AS145" s="274"/>
    </row>
    <row r="146" spans="1:45" ht="15.75" x14ac:dyDescent="0.25">
      <c r="A146" s="322"/>
      <c r="B146" s="323"/>
      <c r="C146" s="324"/>
      <c r="D146" s="323"/>
      <c r="E146" s="322"/>
      <c r="N146"/>
      <c r="O146"/>
      <c r="P146"/>
      <c r="Q146"/>
      <c r="R146"/>
      <c r="S146"/>
      <c r="AL146"/>
    </row>
    <row r="147" spans="1:45" x14ac:dyDescent="0.25">
      <c r="N147"/>
      <c r="O147"/>
      <c r="P147"/>
      <c r="Q147"/>
      <c r="R147"/>
      <c r="S147"/>
      <c r="AL147"/>
    </row>
    <row r="148" spans="1:45" x14ac:dyDescent="0.25">
      <c r="N148"/>
      <c r="O148"/>
      <c r="P148"/>
      <c r="Q148"/>
      <c r="R148"/>
      <c r="S148"/>
      <c r="AL148"/>
    </row>
    <row r="149" spans="1:45" x14ac:dyDescent="0.25">
      <c r="N149"/>
      <c r="O149"/>
      <c r="P149"/>
      <c r="Q149"/>
      <c r="R149"/>
      <c r="S149"/>
      <c r="AL149"/>
    </row>
    <row r="150" spans="1:45" x14ac:dyDescent="0.25">
      <c r="N150"/>
      <c r="O150"/>
      <c r="P150"/>
      <c r="Q150"/>
      <c r="R150"/>
      <c r="S150"/>
      <c r="AL150"/>
    </row>
    <row r="151" spans="1:45" x14ac:dyDescent="0.25">
      <c r="N151"/>
      <c r="O151"/>
      <c r="P151"/>
      <c r="Q151"/>
      <c r="R151"/>
      <c r="S151"/>
      <c r="AL151"/>
    </row>
    <row r="152" spans="1:45" x14ac:dyDescent="0.25">
      <c r="N152"/>
      <c r="O152"/>
      <c r="P152"/>
      <c r="Q152"/>
      <c r="R152"/>
      <c r="S152"/>
      <c r="AL152"/>
    </row>
    <row r="153" spans="1:45" x14ac:dyDescent="0.25">
      <c r="N153"/>
      <c r="O153"/>
      <c r="P153"/>
      <c r="Q153"/>
      <c r="R153"/>
      <c r="S153"/>
      <c r="AL153"/>
    </row>
    <row r="154" spans="1:45" x14ac:dyDescent="0.25">
      <c r="N154"/>
      <c r="O154"/>
      <c r="P154"/>
      <c r="Q154"/>
      <c r="R154"/>
      <c r="S154"/>
      <c r="AL154"/>
    </row>
    <row r="155" spans="1:45" x14ac:dyDescent="0.25">
      <c r="N155"/>
      <c r="O155"/>
      <c r="P155"/>
      <c r="Q155"/>
      <c r="R155"/>
      <c r="S155"/>
      <c r="AL155"/>
    </row>
    <row r="156" spans="1:45" x14ac:dyDescent="0.25">
      <c r="N156"/>
      <c r="O156"/>
      <c r="P156"/>
      <c r="Q156"/>
      <c r="R156"/>
      <c r="S156"/>
      <c r="AL156"/>
    </row>
    <row r="157" spans="1:45" x14ac:dyDescent="0.25">
      <c r="N157"/>
      <c r="O157"/>
      <c r="P157"/>
      <c r="Q157"/>
      <c r="R157"/>
      <c r="S157"/>
      <c r="AL157"/>
    </row>
    <row r="158" spans="1:45" x14ac:dyDescent="0.25">
      <c r="N158"/>
      <c r="O158"/>
      <c r="P158"/>
      <c r="Q158"/>
      <c r="R158"/>
      <c r="S158"/>
      <c r="AL158"/>
    </row>
    <row r="159" spans="1:45" x14ac:dyDescent="0.25">
      <c r="N159"/>
      <c r="O159"/>
      <c r="P159"/>
      <c r="Q159"/>
      <c r="R159"/>
      <c r="S159"/>
      <c r="AL159"/>
    </row>
    <row r="160" spans="1:45" x14ac:dyDescent="0.25">
      <c r="N160"/>
      <c r="O160"/>
      <c r="P160"/>
      <c r="Q160"/>
      <c r="R160"/>
      <c r="S160"/>
      <c r="AL160"/>
    </row>
    <row r="161" spans="14:38" x14ac:dyDescent="0.25">
      <c r="N161"/>
      <c r="O161"/>
      <c r="P161"/>
      <c r="Q161"/>
      <c r="R161"/>
      <c r="S161"/>
      <c r="AL161"/>
    </row>
    <row r="162" spans="14:38" x14ac:dyDescent="0.25">
      <c r="N162"/>
      <c r="O162"/>
      <c r="P162"/>
      <c r="Q162"/>
      <c r="R162"/>
      <c r="S162"/>
      <c r="AL162"/>
    </row>
    <row r="163" spans="14:38" x14ac:dyDescent="0.25">
      <c r="N163"/>
      <c r="O163"/>
      <c r="P163"/>
      <c r="Q163"/>
      <c r="R163"/>
      <c r="S163"/>
      <c r="AL163"/>
    </row>
    <row r="164" spans="14:38" x14ac:dyDescent="0.25">
      <c r="N164"/>
      <c r="O164"/>
      <c r="P164"/>
      <c r="Q164"/>
      <c r="R164"/>
      <c r="S164"/>
      <c r="AL164"/>
    </row>
    <row r="165" spans="14:38" x14ac:dyDescent="0.25">
      <c r="N165"/>
      <c r="O165"/>
      <c r="P165"/>
      <c r="Q165"/>
      <c r="R165"/>
      <c r="S165"/>
      <c r="AL165"/>
    </row>
    <row r="166" spans="14:38" x14ac:dyDescent="0.25">
      <c r="N166"/>
      <c r="O166"/>
      <c r="P166"/>
      <c r="Q166"/>
      <c r="R166"/>
      <c r="S166"/>
      <c r="AL166"/>
    </row>
    <row r="167" spans="14:38" x14ac:dyDescent="0.25">
      <c r="N167"/>
      <c r="O167"/>
      <c r="P167"/>
      <c r="Q167"/>
      <c r="R167"/>
      <c r="S167"/>
      <c r="AL167"/>
    </row>
    <row r="168" spans="14:38" x14ac:dyDescent="0.25">
      <c r="N168"/>
      <c r="O168"/>
      <c r="P168"/>
      <c r="Q168"/>
      <c r="R168"/>
      <c r="S168"/>
      <c r="AL168"/>
    </row>
    <row r="169" spans="14:38" x14ac:dyDescent="0.25">
      <c r="N169"/>
      <c r="O169"/>
      <c r="P169"/>
      <c r="Q169"/>
      <c r="R169"/>
      <c r="S169"/>
      <c r="AL169"/>
    </row>
    <row r="170" spans="14:38" x14ac:dyDescent="0.25">
      <c r="N170"/>
      <c r="O170"/>
      <c r="P170"/>
      <c r="Q170"/>
      <c r="R170"/>
      <c r="S170"/>
      <c r="AL170"/>
    </row>
    <row r="171" spans="14:38" x14ac:dyDescent="0.25">
      <c r="N171"/>
      <c r="O171"/>
      <c r="P171"/>
      <c r="Q171"/>
      <c r="R171"/>
      <c r="S171"/>
      <c r="AL171"/>
    </row>
    <row r="172" spans="14:38" x14ac:dyDescent="0.25">
      <c r="N172"/>
      <c r="O172"/>
      <c r="P172"/>
      <c r="Q172"/>
      <c r="R172"/>
      <c r="S172"/>
      <c r="AL172"/>
    </row>
    <row r="173" spans="14:38" x14ac:dyDescent="0.25">
      <c r="N173"/>
      <c r="O173"/>
      <c r="P173"/>
      <c r="Q173"/>
      <c r="R173"/>
      <c r="S173"/>
      <c r="AL173"/>
    </row>
    <row r="174" spans="14:38" x14ac:dyDescent="0.25">
      <c r="N174"/>
      <c r="O174"/>
      <c r="P174"/>
      <c r="Q174"/>
      <c r="R174"/>
      <c r="S174"/>
      <c r="AL174"/>
    </row>
    <row r="175" spans="14:38" x14ac:dyDescent="0.25">
      <c r="N175"/>
      <c r="O175"/>
      <c r="P175"/>
      <c r="Q175"/>
      <c r="R175"/>
      <c r="S175"/>
      <c r="AL175"/>
    </row>
    <row r="176" spans="14:38" x14ac:dyDescent="0.25">
      <c r="N176"/>
      <c r="O176"/>
      <c r="P176"/>
      <c r="Q176"/>
      <c r="R176"/>
      <c r="S176"/>
      <c r="AL176"/>
    </row>
    <row r="177" spans="14:38" x14ac:dyDescent="0.25">
      <c r="N177"/>
      <c r="O177"/>
      <c r="P177"/>
      <c r="Q177"/>
      <c r="R177"/>
      <c r="S177"/>
      <c r="AL177"/>
    </row>
    <row r="178" spans="14:38" x14ac:dyDescent="0.25">
      <c r="N178"/>
      <c r="O178"/>
      <c r="P178"/>
      <c r="Q178"/>
      <c r="R178"/>
      <c r="S178"/>
      <c r="AL178"/>
    </row>
    <row r="179" spans="14:38" x14ac:dyDescent="0.25">
      <c r="N179"/>
      <c r="O179"/>
      <c r="P179"/>
      <c r="Q179"/>
      <c r="R179"/>
      <c r="S179"/>
      <c r="AL179"/>
    </row>
    <row r="180" spans="14:38" x14ac:dyDescent="0.25">
      <c r="N180"/>
      <c r="O180"/>
      <c r="P180"/>
      <c r="Q180"/>
      <c r="R180"/>
      <c r="S180"/>
      <c r="AL180"/>
    </row>
    <row r="181" spans="14:38" x14ac:dyDescent="0.25">
      <c r="N181"/>
      <c r="O181"/>
      <c r="P181"/>
      <c r="Q181"/>
      <c r="R181"/>
      <c r="S181"/>
      <c r="AL181"/>
    </row>
    <row r="182" spans="14:38" x14ac:dyDescent="0.25">
      <c r="N182"/>
      <c r="O182"/>
      <c r="P182"/>
      <c r="Q182"/>
      <c r="R182"/>
      <c r="S182"/>
      <c r="AL182"/>
    </row>
    <row r="183" spans="14:38" x14ac:dyDescent="0.25">
      <c r="N183"/>
      <c r="O183"/>
      <c r="P183"/>
      <c r="Q183"/>
      <c r="R183"/>
      <c r="S183"/>
      <c r="AL183"/>
    </row>
    <row r="184" spans="14:38" x14ac:dyDescent="0.25">
      <c r="N184"/>
      <c r="O184"/>
      <c r="P184"/>
      <c r="Q184"/>
      <c r="R184"/>
      <c r="S184"/>
      <c r="AL184"/>
    </row>
    <row r="185" spans="14:38" x14ac:dyDescent="0.25">
      <c r="N185"/>
      <c r="O185"/>
      <c r="P185"/>
      <c r="Q185"/>
      <c r="R185"/>
      <c r="S185"/>
      <c r="AL185"/>
    </row>
    <row r="186" spans="14:38" x14ac:dyDescent="0.25">
      <c r="N186"/>
      <c r="O186"/>
      <c r="P186"/>
      <c r="Q186"/>
      <c r="R186"/>
      <c r="S186"/>
      <c r="AL186"/>
    </row>
    <row r="187" spans="14:38" x14ac:dyDescent="0.25">
      <c r="N187"/>
      <c r="O187"/>
      <c r="P187"/>
      <c r="Q187"/>
      <c r="R187"/>
      <c r="S187"/>
      <c r="AL187"/>
    </row>
    <row r="188" spans="14:38" x14ac:dyDescent="0.25">
      <c r="N188"/>
      <c r="O188"/>
      <c r="P188"/>
      <c r="Q188"/>
      <c r="R188"/>
      <c r="S188"/>
      <c r="AL188"/>
    </row>
    <row r="189" spans="14:38" x14ac:dyDescent="0.25">
      <c r="N189"/>
      <c r="O189"/>
      <c r="P189"/>
      <c r="Q189"/>
      <c r="R189"/>
      <c r="S189"/>
      <c r="AL189"/>
    </row>
    <row r="190" spans="14:38" x14ac:dyDescent="0.25">
      <c r="N190"/>
      <c r="O190"/>
      <c r="P190"/>
      <c r="Q190"/>
      <c r="R190"/>
      <c r="S190"/>
      <c r="AL190"/>
    </row>
    <row r="191" spans="14:38" x14ac:dyDescent="0.25">
      <c r="N191"/>
      <c r="O191"/>
      <c r="P191"/>
      <c r="Q191"/>
      <c r="R191"/>
      <c r="S191"/>
      <c r="AL191"/>
    </row>
    <row r="192" spans="14:38" x14ac:dyDescent="0.25">
      <c r="N192"/>
      <c r="O192"/>
      <c r="P192"/>
      <c r="Q192"/>
      <c r="R192"/>
      <c r="S192"/>
      <c r="AL192"/>
    </row>
    <row r="193" spans="14:38" x14ac:dyDescent="0.25">
      <c r="N193"/>
      <c r="O193"/>
      <c r="P193"/>
      <c r="Q193"/>
      <c r="R193"/>
      <c r="S193"/>
      <c r="AL193"/>
    </row>
    <row r="194" spans="14:38" x14ac:dyDescent="0.25">
      <c r="N194"/>
      <c r="O194"/>
      <c r="P194"/>
      <c r="Q194"/>
      <c r="R194"/>
      <c r="S194"/>
      <c r="AL194"/>
    </row>
    <row r="195" spans="14:38" x14ac:dyDescent="0.25">
      <c r="N195"/>
      <c r="O195"/>
      <c r="P195"/>
      <c r="Q195"/>
      <c r="R195"/>
      <c r="S195"/>
      <c r="AL195"/>
    </row>
    <row r="196" spans="14:38" x14ac:dyDescent="0.25">
      <c r="N196"/>
      <c r="O196"/>
      <c r="P196"/>
      <c r="Q196"/>
      <c r="R196"/>
      <c r="S196"/>
      <c r="AL196"/>
    </row>
    <row r="197" spans="14:38" x14ac:dyDescent="0.25">
      <c r="N197"/>
      <c r="O197"/>
      <c r="P197"/>
      <c r="Q197"/>
      <c r="R197"/>
      <c r="S197"/>
      <c r="AL197"/>
    </row>
    <row r="198" spans="14:38" x14ac:dyDescent="0.25">
      <c r="N198"/>
      <c r="O198"/>
      <c r="P198"/>
      <c r="Q198"/>
      <c r="R198"/>
      <c r="S198"/>
      <c r="AL198"/>
    </row>
    <row r="199" spans="14:38" x14ac:dyDescent="0.25">
      <c r="N199"/>
      <c r="O199"/>
      <c r="P199"/>
      <c r="Q199"/>
      <c r="R199"/>
      <c r="S199"/>
      <c r="AL199"/>
    </row>
    <row r="200" spans="14:38" x14ac:dyDescent="0.25">
      <c r="N200"/>
      <c r="O200"/>
      <c r="P200"/>
      <c r="Q200"/>
      <c r="R200"/>
      <c r="S200"/>
      <c r="AL200"/>
    </row>
    <row r="201" spans="14:38" x14ac:dyDescent="0.25">
      <c r="N201"/>
      <c r="O201"/>
      <c r="P201"/>
      <c r="Q201"/>
      <c r="R201"/>
      <c r="S201"/>
      <c r="AL201"/>
    </row>
    <row r="202" spans="14:38" x14ac:dyDescent="0.25">
      <c r="N202"/>
      <c r="O202"/>
      <c r="P202"/>
      <c r="Q202"/>
      <c r="R202"/>
      <c r="S202"/>
      <c r="AL202"/>
    </row>
    <row r="203" spans="14:38" x14ac:dyDescent="0.25">
      <c r="N203"/>
      <c r="O203"/>
      <c r="P203"/>
      <c r="Q203"/>
      <c r="R203"/>
      <c r="S203"/>
      <c r="AL203"/>
    </row>
    <row r="204" spans="14:38" x14ac:dyDescent="0.25">
      <c r="N204"/>
      <c r="O204"/>
      <c r="P204"/>
      <c r="Q204"/>
      <c r="R204"/>
      <c r="S204"/>
      <c r="AL204"/>
    </row>
    <row r="205" spans="14:38" x14ac:dyDescent="0.25">
      <c r="N205"/>
      <c r="O205"/>
      <c r="P205"/>
      <c r="Q205"/>
      <c r="R205"/>
      <c r="S205"/>
      <c r="AL205"/>
    </row>
    <row r="206" spans="14:38" x14ac:dyDescent="0.25">
      <c r="N206"/>
      <c r="O206"/>
      <c r="P206"/>
      <c r="Q206"/>
      <c r="R206"/>
      <c r="S206"/>
      <c r="AL206"/>
    </row>
    <row r="207" spans="14:38" x14ac:dyDescent="0.25">
      <c r="N207"/>
      <c r="O207"/>
      <c r="P207"/>
      <c r="Q207"/>
      <c r="R207"/>
      <c r="S207"/>
      <c r="AL207"/>
    </row>
    <row r="208" spans="14:38" x14ac:dyDescent="0.25">
      <c r="N208"/>
      <c r="O208"/>
      <c r="P208"/>
      <c r="Q208"/>
      <c r="R208"/>
      <c r="S208"/>
      <c r="AL208"/>
    </row>
    <row r="209" spans="14:38" x14ac:dyDescent="0.25">
      <c r="N209"/>
      <c r="O209"/>
      <c r="P209"/>
      <c r="Q209"/>
      <c r="R209"/>
      <c r="S209"/>
      <c r="AL209"/>
    </row>
    <row r="210" spans="14:38" x14ac:dyDescent="0.25">
      <c r="N210"/>
      <c r="O210"/>
      <c r="P210"/>
      <c r="Q210"/>
      <c r="R210"/>
      <c r="S210"/>
      <c r="AL210"/>
    </row>
    <row r="211" spans="14:38" x14ac:dyDescent="0.25">
      <c r="N211"/>
      <c r="O211"/>
      <c r="P211"/>
      <c r="Q211"/>
      <c r="R211"/>
      <c r="S211"/>
      <c r="AL211"/>
    </row>
    <row r="212" spans="14:38" x14ac:dyDescent="0.25">
      <c r="N212"/>
      <c r="O212"/>
      <c r="P212"/>
      <c r="Q212"/>
      <c r="R212"/>
      <c r="S212"/>
      <c r="AL212"/>
    </row>
    <row r="213" spans="14:38" x14ac:dyDescent="0.25">
      <c r="N213"/>
      <c r="O213"/>
      <c r="P213"/>
      <c r="Q213"/>
      <c r="R213"/>
      <c r="S213"/>
      <c r="AL213"/>
    </row>
    <row r="214" spans="14:38" x14ac:dyDescent="0.25">
      <c r="N214"/>
      <c r="O214"/>
      <c r="P214"/>
      <c r="Q214"/>
      <c r="R214"/>
      <c r="S214"/>
      <c r="AL214"/>
    </row>
    <row r="215" spans="14:38" x14ac:dyDescent="0.25">
      <c r="N215"/>
      <c r="O215"/>
      <c r="P215"/>
      <c r="Q215"/>
      <c r="R215"/>
      <c r="S215"/>
      <c r="AL215"/>
    </row>
    <row r="216" spans="14:38" x14ac:dyDescent="0.25">
      <c r="N216"/>
      <c r="O216"/>
      <c r="P216"/>
      <c r="Q216"/>
      <c r="R216"/>
      <c r="S216"/>
      <c r="AL216"/>
    </row>
    <row r="217" spans="14:38" x14ac:dyDescent="0.25">
      <c r="N217"/>
      <c r="O217"/>
      <c r="P217"/>
      <c r="Q217"/>
      <c r="R217"/>
      <c r="S217"/>
      <c r="AL217"/>
    </row>
    <row r="218" spans="14:38" x14ac:dyDescent="0.25">
      <c r="N218"/>
      <c r="O218"/>
      <c r="P218"/>
      <c r="Q218"/>
      <c r="R218"/>
      <c r="S218"/>
      <c r="AL218"/>
    </row>
    <row r="219" spans="14:38" x14ac:dyDescent="0.25">
      <c r="N219"/>
      <c r="O219"/>
      <c r="P219"/>
      <c r="Q219"/>
      <c r="R219"/>
      <c r="S219"/>
      <c r="AL219"/>
    </row>
    <row r="220" spans="14:38" x14ac:dyDescent="0.25">
      <c r="N220"/>
      <c r="O220"/>
      <c r="P220"/>
      <c r="Q220"/>
      <c r="R220"/>
      <c r="S220"/>
      <c r="AL220"/>
    </row>
    <row r="221" spans="14:38" x14ac:dyDescent="0.25">
      <c r="N221"/>
      <c r="O221"/>
      <c r="P221"/>
      <c r="Q221"/>
      <c r="R221"/>
      <c r="S221"/>
      <c r="AL221"/>
    </row>
    <row r="222" spans="14:38" x14ac:dyDescent="0.25">
      <c r="N222"/>
      <c r="O222"/>
      <c r="P222"/>
      <c r="Q222"/>
      <c r="R222"/>
      <c r="S222"/>
      <c r="AL222"/>
    </row>
    <row r="223" spans="14:38" x14ac:dyDescent="0.25">
      <c r="N223"/>
      <c r="O223"/>
      <c r="P223"/>
      <c r="Q223"/>
      <c r="R223"/>
      <c r="S223"/>
      <c r="AL223"/>
    </row>
    <row r="224" spans="14:38" x14ac:dyDescent="0.25">
      <c r="N224"/>
      <c r="O224"/>
      <c r="P224"/>
      <c r="Q224"/>
      <c r="R224"/>
      <c r="S224"/>
      <c r="AL224"/>
    </row>
    <row r="225" spans="14:38" x14ac:dyDescent="0.25">
      <c r="N225"/>
      <c r="O225"/>
      <c r="P225"/>
      <c r="Q225"/>
      <c r="R225"/>
      <c r="S225"/>
      <c r="AL225"/>
    </row>
    <row r="226" spans="14:38" x14ac:dyDescent="0.25">
      <c r="N226"/>
      <c r="O226"/>
      <c r="P226"/>
      <c r="Q226"/>
      <c r="R226"/>
      <c r="S226"/>
      <c r="AL226"/>
    </row>
    <row r="227" spans="14:38" x14ac:dyDescent="0.25">
      <c r="N227"/>
      <c r="O227"/>
      <c r="P227"/>
      <c r="Q227"/>
      <c r="R227"/>
      <c r="S227"/>
      <c r="AL227"/>
    </row>
    <row r="228" spans="14:38" x14ac:dyDescent="0.25">
      <c r="N228"/>
      <c r="O228"/>
      <c r="P228"/>
      <c r="Q228"/>
      <c r="R228"/>
      <c r="S228"/>
      <c r="AL228"/>
    </row>
    <row r="229" spans="14:38" x14ac:dyDescent="0.25">
      <c r="N229"/>
      <c r="O229"/>
      <c r="P229"/>
      <c r="Q229"/>
      <c r="R229"/>
      <c r="S229"/>
      <c r="AL229"/>
    </row>
    <row r="230" spans="14:38" x14ac:dyDescent="0.25">
      <c r="N230"/>
      <c r="O230"/>
      <c r="P230"/>
      <c r="Q230"/>
      <c r="R230"/>
      <c r="S230"/>
      <c r="AL230"/>
    </row>
    <row r="231" spans="14:38" x14ac:dyDescent="0.25">
      <c r="N231"/>
      <c r="O231"/>
      <c r="P231"/>
      <c r="Q231"/>
      <c r="R231"/>
      <c r="S231"/>
      <c r="AL231"/>
    </row>
    <row r="232" spans="14:38" x14ac:dyDescent="0.25">
      <c r="N232"/>
      <c r="O232"/>
      <c r="P232"/>
      <c r="Q232"/>
      <c r="R232"/>
      <c r="S232"/>
      <c r="AL232"/>
    </row>
    <row r="233" spans="14:38" x14ac:dyDescent="0.25">
      <c r="N233"/>
      <c r="O233"/>
      <c r="P233"/>
      <c r="Q233"/>
      <c r="R233"/>
      <c r="S233"/>
      <c r="AL233"/>
    </row>
    <row r="234" spans="14:38" x14ac:dyDescent="0.25">
      <c r="N234"/>
      <c r="O234"/>
      <c r="P234"/>
      <c r="Q234"/>
      <c r="R234"/>
      <c r="S234"/>
      <c r="AL234"/>
    </row>
    <row r="235" spans="14:38" x14ac:dyDescent="0.25">
      <c r="N235"/>
      <c r="O235"/>
      <c r="P235"/>
      <c r="Q235"/>
      <c r="R235"/>
      <c r="S235"/>
      <c r="AL235"/>
    </row>
    <row r="236" spans="14:38" x14ac:dyDescent="0.25">
      <c r="N236"/>
      <c r="O236"/>
      <c r="P236"/>
      <c r="Q236"/>
      <c r="R236"/>
      <c r="S236"/>
      <c r="AL236"/>
    </row>
    <row r="237" spans="14:38" x14ac:dyDescent="0.25">
      <c r="N237"/>
      <c r="O237"/>
      <c r="P237"/>
      <c r="Q237"/>
      <c r="R237"/>
      <c r="S237"/>
      <c r="AL237"/>
    </row>
    <row r="238" spans="14:38" x14ac:dyDescent="0.25">
      <c r="N238"/>
      <c r="O238"/>
      <c r="P238"/>
      <c r="Q238"/>
      <c r="R238"/>
      <c r="S238"/>
      <c r="AL238"/>
    </row>
    <row r="239" spans="14:38" x14ac:dyDescent="0.25">
      <c r="N239"/>
      <c r="O239"/>
      <c r="P239"/>
      <c r="Q239"/>
      <c r="R239"/>
      <c r="S239"/>
      <c r="AL239"/>
    </row>
    <row r="240" spans="14:38" x14ac:dyDescent="0.25">
      <c r="N240"/>
      <c r="O240"/>
      <c r="P240"/>
      <c r="Q240"/>
      <c r="R240"/>
      <c r="AL240"/>
    </row>
    <row r="241" spans="14:38" x14ac:dyDescent="0.25">
      <c r="N241"/>
      <c r="O241"/>
      <c r="P241"/>
      <c r="Q241"/>
      <c r="R241"/>
      <c r="AL241"/>
    </row>
    <row r="242" spans="14:38" x14ac:dyDescent="0.25">
      <c r="N242"/>
      <c r="O242"/>
      <c r="P242"/>
      <c r="Q242"/>
      <c r="R242"/>
      <c r="AL242"/>
    </row>
    <row r="243" spans="14:38" x14ac:dyDescent="0.25">
      <c r="N243"/>
      <c r="O243"/>
      <c r="P243"/>
      <c r="Q243"/>
      <c r="R243"/>
      <c r="AL243"/>
    </row>
    <row r="244" spans="14:38" x14ac:dyDescent="0.25">
      <c r="N244"/>
      <c r="O244"/>
      <c r="P244"/>
      <c r="Q244"/>
      <c r="R244"/>
      <c r="AL244"/>
    </row>
    <row r="245" spans="14:38" x14ac:dyDescent="0.25">
      <c r="N245"/>
      <c r="O245"/>
      <c r="P245"/>
      <c r="Q245"/>
      <c r="R245"/>
      <c r="AL245"/>
    </row>
    <row r="246" spans="14:38" x14ac:dyDescent="0.25">
      <c r="N246"/>
      <c r="O246"/>
      <c r="P246"/>
      <c r="Q246"/>
      <c r="R246"/>
      <c r="AL246"/>
    </row>
    <row r="247" spans="14:38" x14ac:dyDescent="0.25">
      <c r="N247"/>
      <c r="O247"/>
      <c r="P247"/>
      <c r="Q247"/>
      <c r="R247"/>
      <c r="AL247"/>
    </row>
    <row r="248" spans="14:38" x14ac:dyDescent="0.25">
      <c r="N248"/>
      <c r="O248"/>
      <c r="P248"/>
      <c r="Q248"/>
      <c r="R248"/>
      <c r="AL248"/>
    </row>
    <row r="249" spans="14:38" x14ac:dyDescent="0.25">
      <c r="N249"/>
      <c r="O249"/>
      <c r="P249"/>
      <c r="Q249"/>
      <c r="R249"/>
      <c r="AL249"/>
    </row>
    <row r="250" spans="14:38" x14ac:dyDescent="0.25">
      <c r="N250"/>
      <c r="O250"/>
      <c r="P250"/>
      <c r="Q250"/>
      <c r="R250"/>
      <c r="AL250"/>
    </row>
    <row r="251" spans="14:38" x14ac:dyDescent="0.25">
      <c r="N251"/>
      <c r="O251"/>
      <c r="P251"/>
      <c r="Q251"/>
      <c r="R251"/>
      <c r="AL251"/>
    </row>
    <row r="252" spans="14:38" x14ac:dyDescent="0.25">
      <c r="N252"/>
      <c r="O252"/>
      <c r="P252"/>
      <c r="Q252"/>
      <c r="R252"/>
      <c r="AL252"/>
    </row>
    <row r="253" spans="14:38" x14ac:dyDescent="0.25">
      <c r="N253"/>
      <c r="O253"/>
      <c r="P253"/>
      <c r="Q253"/>
      <c r="R253"/>
      <c r="AL253"/>
    </row>
    <row r="254" spans="14:38" x14ac:dyDescent="0.25">
      <c r="N254"/>
      <c r="O254"/>
      <c r="P254"/>
      <c r="Q254"/>
      <c r="R254"/>
      <c r="AL254"/>
    </row>
    <row r="255" spans="14:38" x14ac:dyDescent="0.25">
      <c r="N255"/>
      <c r="O255"/>
      <c r="P255"/>
      <c r="Q255"/>
      <c r="R255"/>
      <c r="AL255"/>
    </row>
    <row r="256" spans="14:38" x14ac:dyDescent="0.25">
      <c r="N256"/>
      <c r="O256"/>
      <c r="P256"/>
      <c r="Q256"/>
      <c r="R256"/>
      <c r="AL256"/>
    </row>
    <row r="257" spans="1:41" x14ac:dyDescent="0.25">
      <c r="N257"/>
      <c r="O257"/>
      <c r="P257"/>
      <c r="Q257"/>
      <c r="R257"/>
      <c r="AL257"/>
    </row>
    <row r="258" spans="1:41" x14ac:dyDescent="0.25">
      <c r="N258"/>
      <c r="O258"/>
      <c r="P258"/>
      <c r="Q258"/>
      <c r="R258"/>
      <c r="AL258"/>
    </row>
    <row r="259" spans="1:41" x14ac:dyDescent="0.25">
      <c r="N259"/>
      <c r="O259"/>
      <c r="P259"/>
      <c r="Q259"/>
      <c r="R259"/>
      <c r="AL259"/>
    </row>
    <row r="260" spans="1:41" x14ac:dyDescent="0.25">
      <c r="N260"/>
      <c r="O260"/>
      <c r="P260"/>
      <c r="Q260"/>
      <c r="R260"/>
      <c r="AL260"/>
    </row>
    <row r="261" spans="1:41" x14ac:dyDescent="0.25">
      <c r="N261"/>
      <c r="O261"/>
      <c r="P261"/>
      <c r="Q261"/>
      <c r="R261"/>
      <c r="AL261"/>
    </row>
    <row r="262" spans="1:41" x14ac:dyDescent="0.25">
      <c r="N262"/>
      <c r="O262"/>
      <c r="P262"/>
      <c r="Q262"/>
      <c r="R262"/>
      <c r="AL262"/>
    </row>
    <row r="263" spans="1:41" x14ac:dyDescent="0.25">
      <c r="N263"/>
      <c r="O263"/>
      <c r="P263"/>
      <c r="Q263"/>
      <c r="R263"/>
      <c r="AL263"/>
    </row>
    <row r="264" spans="1:41" x14ac:dyDescent="0.25">
      <c r="N264"/>
      <c r="O264"/>
      <c r="P264"/>
      <c r="Q264"/>
      <c r="AL264"/>
    </row>
    <row r="265" spans="1:41" x14ac:dyDescent="0.25">
      <c r="A265" s="61" t="s">
        <v>821</v>
      </c>
      <c r="N265"/>
      <c r="O265"/>
      <c r="P265"/>
      <c r="Q265"/>
      <c r="R265"/>
      <c r="S265"/>
      <c r="AL265"/>
    </row>
    <row r="266" spans="1:41"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c r="AE266"/>
      <c r="AF266"/>
      <c r="AG266"/>
      <c r="AH266"/>
      <c r="AI266"/>
      <c r="AJ266"/>
      <c r="AK266"/>
      <c r="AL266"/>
    </row>
    <row r="267" spans="1:41" x14ac:dyDescent="0.25">
      <c r="B267" s="335" t="s">
        <v>823</v>
      </c>
      <c r="C267" s="336">
        <v>0.9</v>
      </c>
      <c r="N267"/>
      <c r="O267"/>
      <c r="P267"/>
      <c r="Q267"/>
      <c r="R267"/>
      <c r="S267"/>
      <c r="T267"/>
      <c r="U267"/>
      <c r="V267"/>
      <c r="W267"/>
      <c r="X267"/>
      <c r="Y267"/>
      <c r="Z267"/>
      <c r="AA267"/>
      <c r="AB267"/>
      <c r="AC267"/>
      <c r="AD267"/>
      <c r="AE267"/>
      <c r="AF267"/>
      <c r="AG267"/>
      <c r="AH267"/>
      <c r="AI267"/>
      <c r="AJ267"/>
      <c r="AK267"/>
      <c r="AL267"/>
    </row>
    <row r="268" spans="1:41" x14ac:dyDescent="0.25">
      <c r="N268" t="s">
        <v>660</v>
      </c>
      <c r="O268"/>
      <c r="P268"/>
      <c r="Q268"/>
      <c r="R268"/>
      <c r="S268"/>
      <c r="T268"/>
      <c r="U268"/>
      <c r="V268"/>
      <c r="W268"/>
      <c r="X268"/>
      <c r="Y268"/>
      <c r="Z268"/>
      <c r="AA268"/>
      <c r="AB268"/>
      <c r="AC268"/>
      <c r="AD268"/>
      <c r="AE268"/>
      <c r="AF268"/>
      <c r="AG268"/>
      <c r="AH268"/>
      <c r="AI268"/>
      <c r="AJ268"/>
      <c r="AK268"/>
      <c r="AL268"/>
    </row>
    <row r="269" spans="1:41"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AD269" s="61">
        <v>2040</v>
      </c>
      <c r="AE269" s="61">
        <v>2050</v>
      </c>
      <c r="AG269"/>
      <c r="AH269"/>
      <c r="AI269"/>
      <c r="AJ269"/>
      <c r="AK269"/>
      <c r="AL269"/>
    </row>
    <row r="270" spans="1:41"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c r="AE270"/>
      <c r="AF270"/>
      <c r="AG270"/>
      <c r="AH270"/>
      <c r="AI270"/>
      <c r="AJ270"/>
      <c r="AK270"/>
      <c r="AL270"/>
    </row>
    <row r="271" spans="1:41" x14ac:dyDescent="0.25">
      <c r="A271" s="61" t="s">
        <v>824</v>
      </c>
      <c r="C271" s="76">
        <f>$H$266*EXP($I$266*C269)</f>
        <v>0.63790037188102888</v>
      </c>
      <c r="D271" s="76">
        <f>D270</f>
        <v>0.52</v>
      </c>
      <c r="E271" s="76">
        <f t="shared" ref="E271:H271" si="31">E270</f>
        <v>0.48</v>
      </c>
      <c r="F271" s="76">
        <f t="shared" si="31"/>
        <v>0.36</v>
      </c>
      <c r="G271" s="76">
        <f t="shared" si="31"/>
        <v>0.255</v>
      </c>
      <c r="H271" s="76">
        <f t="shared" si="31"/>
        <v>0.18</v>
      </c>
      <c r="I271" s="76">
        <f>$H$266*EXP($I$266*I269)</f>
        <v>0.12622450589064815</v>
      </c>
      <c r="J271" s="76">
        <f t="shared" ref="J271:K271" si="32">$H$266*EXP($I$266*J269)</f>
        <v>8.8753433437305504E-2</v>
      </c>
      <c r="K271" s="76">
        <f t="shared" si="32"/>
        <v>4.3880152650785924E-2</v>
      </c>
      <c r="N271" s="67">
        <f t="shared" ref="N271:N272" si="33">IF(EV.Battery,1-C271,1)</f>
        <v>1</v>
      </c>
      <c r="O271" s="67"/>
      <c r="P271" s="67">
        <f t="shared" ref="P271" si="34">IF(EV.Battery,1-D271,1)</f>
        <v>1</v>
      </c>
      <c r="Q271" s="67">
        <f t="shared" ref="Q271" si="35">IF(EV.Battery,1-E271,1)</f>
        <v>1</v>
      </c>
      <c r="R271" s="67">
        <f>IF(EV.Battery,1-F271,1)</f>
        <v>1</v>
      </c>
      <c r="S271" s="67">
        <f t="shared" ref="S271" si="36">IF(EV.Battery,1-G271,1)</f>
        <v>1</v>
      </c>
      <c r="T271" s="67">
        <f t="shared" ref="T271" si="37">IF(EV.Battery,1-H271,1)</f>
        <v>1</v>
      </c>
      <c r="U271" s="67">
        <f t="shared" ref="U271" si="38">IF(EV.Battery,1-I271,1)</f>
        <v>1</v>
      </c>
      <c r="V271" s="67"/>
      <c r="W271" s="67"/>
      <c r="X271" s="67"/>
      <c r="Y271" s="67"/>
      <c r="Z271" s="67"/>
      <c r="AA271" s="67"/>
      <c r="AB271" s="67"/>
      <c r="AC271" s="67"/>
      <c r="AD271" s="67">
        <f t="shared" ref="AD271" si="39">IF(EV.Battery,1-J271,1)</f>
        <v>1</v>
      </c>
      <c r="AE271" s="67">
        <f t="shared" ref="AE271" si="40">IF(EV.Battery,1-K271,1)</f>
        <v>1</v>
      </c>
      <c r="AF271" s="67"/>
      <c r="AG271"/>
      <c r="AH271"/>
      <c r="AI271"/>
      <c r="AJ271"/>
      <c r="AK271"/>
      <c r="AL271"/>
    </row>
    <row r="272" spans="1:41" x14ac:dyDescent="0.25">
      <c r="A272" s="61" t="s">
        <v>826</v>
      </c>
      <c r="C272" s="63">
        <f>AD143</f>
        <v>0.56614013274745012</v>
      </c>
      <c r="D272" s="63"/>
      <c r="E272" s="63"/>
      <c r="F272" s="63">
        <f>AE143</f>
        <v>0.41951535114232619</v>
      </c>
      <c r="G272" s="63"/>
      <c r="H272" s="63">
        <f>AG143</f>
        <v>0.32711312989538111</v>
      </c>
      <c r="I272" s="63"/>
      <c r="J272" s="63">
        <f>AI143</f>
        <v>0.33647007711164806</v>
      </c>
      <c r="K272" s="63">
        <f>AJ143</f>
        <v>0.34084483654197317</v>
      </c>
      <c r="N272" s="67">
        <f t="shared" si="33"/>
        <v>1</v>
      </c>
      <c r="O272" s="67"/>
      <c r="P272" s="67">
        <f>IF(EV.Battery,1-D272,1)</f>
        <v>1</v>
      </c>
      <c r="Q272" s="67">
        <f>IF(EV.Battery,1-E272,1)</f>
        <v>1</v>
      </c>
      <c r="R272" s="67">
        <f>IF(EV.Battery,1-F272,1)</f>
        <v>1</v>
      </c>
      <c r="S272" s="67">
        <f>IF(EV.Battery,1-G272,1)</f>
        <v>1</v>
      </c>
      <c r="T272" s="67">
        <f>IF(EV.Battery,1-H272,1)</f>
        <v>1</v>
      </c>
      <c r="U272" s="67">
        <f>IF(EV.Battery,1-I272,1)</f>
        <v>1</v>
      </c>
      <c r="V272" s="67"/>
      <c r="W272" s="67"/>
      <c r="X272" s="67"/>
      <c r="Y272" s="67"/>
      <c r="Z272" s="67"/>
      <c r="AA272" s="67"/>
      <c r="AB272" s="67"/>
      <c r="AC272" s="67"/>
      <c r="AD272" s="67">
        <f>IF(EV.Battery,1-J272,1)</f>
        <v>1</v>
      </c>
      <c r="AE272" s="67">
        <f>IF(EV.Battery,1-K272,1)</f>
        <v>1</v>
      </c>
      <c r="AF272" s="67"/>
      <c r="AG272"/>
      <c r="AH272"/>
      <c r="AI272"/>
      <c r="AJ272"/>
      <c r="AK272"/>
      <c r="AL272"/>
      <c r="AO272" s="67"/>
    </row>
    <row r="273" spans="14:38" x14ac:dyDescent="0.25">
      <c r="N273" s="67"/>
      <c r="O273" s="67"/>
      <c r="P273" s="67"/>
      <c r="Q273" s="67"/>
      <c r="R273" s="67"/>
      <c r="S273" s="67"/>
      <c r="T273" s="67"/>
      <c r="U273" s="67"/>
      <c r="V273" s="67"/>
      <c r="W273" s="67"/>
      <c r="X273" s="67"/>
      <c r="Y273" s="67"/>
      <c r="Z273" s="67"/>
      <c r="AA273" s="67"/>
      <c r="AB273" s="67"/>
      <c r="AC273" s="67"/>
      <c r="AD273" s="67"/>
      <c r="AE273" s="67"/>
      <c r="AF273" s="67"/>
      <c r="AG273"/>
      <c r="AH273"/>
      <c r="AI273"/>
      <c r="AJ273"/>
      <c r="AK273"/>
      <c r="AL273"/>
    </row>
    <row r="274" spans="14:38" x14ac:dyDescent="0.25">
      <c r="N274"/>
      <c r="O274"/>
      <c r="P274"/>
      <c r="Q274"/>
      <c r="R274"/>
      <c r="S274"/>
      <c r="T274"/>
      <c r="U274"/>
      <c r="V274"/>
      <c r="W274"/>
      <c r="X274"/>
      <c r="Y274"/>
      <c r="Z274"/>
      <c r="AA274"/>
      <c r="AB274"/>
      <c r="AC274"/>
      <c r="AD274"/>
      <c r="AE274"/>
      <c r="AF274"/>
      <c r="AG274"/>
      <c r="AH274"/>
      <c r="AI274"/>
      <c r="AJ274"/>
      <c r="AK274"/>
      <c r="AL274"/>
    </row>
    <row r="275" spans="14:38" x14ac:dyDescent="0.25">
      <c r="N275"/>
      <c r="O275"/>
      <c r="P275"/>
      <c r="Q275"/>
      <c r="R275"/>
      <c r="S275"/>
      <c r="T275"/>
      <c r="U275"/>
      <c r="V275"/>
      <c r="W275"/>
      <c r="X275"/>
      <c r="Y275"/>
      <c r="Z275"/>
      <c r="AA275"/>
      <c r="AB275"/>
      <c r="AC275"/>
      <c r="AD275"/>
      <c r="AE275"/>
      <c r="AF275"/>
      <c r="AG275"/>
      <c r="AH275"/>
      <c r="AI275"/>
      <c r="AJ275"/>
      <c r="AK275"/>
      <c r="AL275"/>
    </row>
    <row r="276" spans="14:38" x14ac:dyDescent="0.25">
      <c r="N276"/>
      <c r="O276"/>
      <c r="P276"/>
      <c r="Q276"/>
      <c r="R276"/>
      <c r="S276"/>
      <c r="T276"/>
      <c r="U276"/>
      <c r="V276"/>
      <c r="W276"/>
      <c r="X276"/>
      <c r="Y276"/>
      <c r="Z276"/>
      <c r="AA276"/>
      <c r="AB276"/>
      <c r="AC276"/>
      <c r="AD276"/>
      <c r="AE276"/>
      <c r="AF276"/>
      <c r="AG276"/>
      <c r="AH276"/>
      <c r="AI276"/>
      <c r="AJ276"/>
      <c r="AK276"/>
      <c r="AL276"/>
    </row>
    <row r="277" spans="14:38" x14ac:dyDescent="0.25">
      <c r="N277"/>
      <c r="O277"/>
      <c r="P277"/>
      <c r="Q277"/>
      <c r="R277"/>
      <c r="S277"/>
      <c r="T277"/>
      <c r="U277"/>
      <c r="V277"/>
      <c r="W277"/>
      <c r="X277"/>
      <c r="Y277"/>
      <c r="Z277"/>
      <c r="AA277"/>
      <c r="AB277"/>
      <c r="AC277"/>
      <c r="AD277"/>
      <c r="AE277"/>
      <c r="AF277"/>
      <c r="AG277"/>
      <c r="AH277"/>
      <c r="AI277"/>
      <c r="AJ277"/>
      <c r="AK277"/>
      <c r="AL277"/>
    </row>
    <row r="278" spans="14:38" x14ac:dyDescent="0.25">
      <c r="N278"/>
      <c r="O278"/>
      <c r="P278"/>
      <c r="Q278"/>
      <c r="R278"/>
      <c r="S278"/>
      <c r="T278"/>
      <c r="U278"/>
      <c r="V278"/>
      <c r="W278"/>
      <c r="X278"/>
      <c r="Y278"/>
      <c r="Z278"/>
      <c r="AA278"/>
      <c r="AB278"/>
      <c r="AC278"/>
      <c r="AD278"/>
      <c r="AE278"/>
      <c r="AF278"/>
      <c r="AG278"/>
      <c r="AH278"/>
      <c r="AI278"/>
      <c r="AJ278"/>
      <c r="AK278"/>
      <c r="AL278"/>
    </row>
    <row r="279" spans="14:38" x14ac:dyDescent="0.25">
      <c r="N279"/>
      <c r="O279"/>
      <c r="P279"/>
      <c r="Q279"/>
      <c r="R279"/>
      <c r="S279"/>
      <c r="T279"/>
      <c r="U279"/>
      <c r="V279"/>
      <c r="W279"/>
      <c r="X279"/>
      <c r="Y279"/>
      <c r="Z279"/>
      <c r="AA279"/>
      <c r="AB279"/>
      <c r="AC279"/>
      <c r="AD279"/>
      <c r="AE279"/>
      <c r="AF279"/>
      <c r="AG279"/>
      <c r="AH279"/>
      <c r="AI279"/>
      <c r="AJ279"/>
      <c r="AK279"/>
      <c r="AL279"/>
    </row>
    <row r="280" spans="14:38" x14ac:dyDescent="0.25">
      <c r="N280"/>
      <c r="O280"/>
      <c r="P280"/>
      <c r="Q280"/>
      <c r="R280"/>
      <c r="S280"/>
      <c r="T280"/>
      <c r="U280"/>
      <c r="V280"/>
      <c r="W280"/>
      <c r="X280"/>
      <c r="Y280"/>
      <c r="Z280"/>
      <c r="AA280"/>
      <c r="AB280"/>
      <c r="AC280"/>
      <c r="AD280"/>
      <c r="AE280"/>
      <c r="AF280"/>
      <c r="AG280"/>
      <c r="AH280"/>
      <c r="AI280"/>
      <c r="AJ280"/>
      <c r="AK280"/>
      <c r="AL280"/>
    </row>
  </sheetData>
  <dataValidations count="2">
    <dataValidation type="list" allowBlank="1" showInputMessage="1" showErrorMessage="1" sqref="AJ1:AJ2" xr:uid="{1C7005ED-1490-4709-B6F2-8ADD78113E8B}">
      <formula1>$AJ$5:$AJ$7</formula1>
    </dataValidation>
    <dataValidation type="list" allowBlank="1" showInputMessage="1" showErrorMessage="1" sqref="V20:V110" xr:uid="{3CBE39FB-220F-4DDA-941A-40C4BA493892}">
      <formula1>$W$19:$AC$19</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codeName="Sheet10">
    <tabColor rgb="FFFF0066"/>
  </sheetPr>
  <dimension ref="B1:AL131"/>
  <sheetViews>
    <sheetView topLeftCell="O12" workbookViewId="0">
      <selection activeCell="Z40" sqref="Z40"/>
    </sheetView>
  </sheetViews>
  <sheetFormatPr defaultRowHeight="15" x14ac:dyDescent="0.25"/>
  <cols>
    <col min="1" max="2" width="9.140625" style="849"/>
    <col min="3" max="3" width="12.5703125" style="849" bestFit="1" customWidth="1"/>
    <col min="4" max="4" width="14.7109375" style="849" customWidth="1"/>
    <col min="5" max="16" width="12.5703125" style="849" bestFit="1" customWidth="1"/>
    <col min="17" max="17" width="9.140625" style="849"/>
    <col min="18" max="18" width="13.5703125" style="849" customWidth="1"/>
    <col min="19" max="19" width="14.5703125" style="849" customWidth="1"/>
    <col min="20" max="20" width="27.28515625" style="849" customWidth="1"/>
    <col min="21" max="21" width="25.5703125" style="856" customWidth="1"/>
    <col min="22" max="29" width="16.85546875" style="856" customWidth="1"/>
    <col min="30" max="30" width="17.85546875" style="856" bestFit="1" customWidth="1"/>
    <col min="31" max="38" width="16.85546875" style="856" customWidth="1"/>
    <col min="39" max="16384" width="9.140625" style="849"/>
  </cols>
  <sheetData>
    <row r="1" spans="2:38" x14ac:dyDescent="0.25">
      <c r="B1" s="849" t="s">
        <v>1316</v>
      </c>
      <c r="R1" s="340"/>
      <c r="S1" s="369" t="s">
        <v>681</v>
      </c>
      <c r="V1" s="865">
        <v>2010</v>
      </c>
      <c r="W1" s="865">
        <v>2020</v>
      </c>
      <c r="X1" s="865">
        <v>2025</v>
      </c>
      <c r="Y1" s="865">
        <v>2030</v>
      </c>
      <c r="Z1" s="865">
        <v>2035</v>
      </c>
      <c r="AA1" s="865">
        <v>2040</v>
      </c>
      <c r="AB1" s="865">
        <v>2045</v>
      </c>
      <c r="AC1" s="865">
        <v>2050</v>
      </c>
      <c r="AE1" s="865">
        <v>2010</v>
      </c>
      <c r="AF1" s="865">
        <v>2020</v>
      </c>
      <c r="AG1" s="865">
        <v>2025</v>
      </c>
      <c r="AH1" s="865">
        <v>2030</v>
      </c>
      <c r="AI1" s="865">
        <v>2035</v>
      </c>
      <c r="AJ1" s="865">
        <v>2040</v>
      </c>
      <c r="AK1" s="865">
        <v>2045</v>
      </c>
      <c r="AL1" s="865">
        <v>2050</v>
      </c>
    </row>
    <row r="2" spans="2:38" ht="15.75" thickBot="1" x14ac:dyDescent="0.3">
      <c r="B2" s="849" t="s">
        <v>1315</v>
      </c>
      <c r="R2" s="340"/>
      <c r="S2" s="465" t="s">
        <v>1323</v>
      </c>
      <c r="T2" s="863" t="s">
        <v>1355</v>
      </c>
      <c r="U2" s="863" t="s">
        <v>1354</v>
      </c>
      <c r="V2" s="866" t="s">
        <v>1353</v>
      </c>
      <c r="W2" s="867"/>
      <c r="X2" s="867"/>
      <c r="Y2" s="867"/>
      <c r="Z2" s="867"/>
      <c r="AA2" s="867"/>
      <c r="AB2" s="867"/>
      <c r="AC2" s="867"/>
      <c r="AD2" s="859" t="s">
        <v>1357</v>
      </c>
      <c r="AE2" s="884" t="s">
        <v>1358</v>
      </c>
      <c r="AF2" s="867"/>
      <c r="AG2" s="867"/>
      <c r="AH2" s="867"/>
      <c r="AI2" s="867"/>
      <c r="AJ2" s="867"/>
      <c r="AK2" s="867"/>
      <c r="AL2" s="867"/>
    </row>
    <row r="3" spans="2:38" x14ac:dyDescent="0.25">
      <c r="B3" s="853" t="s">
        <v>1314</v>
      </c>
      <c r="R3" s="340" t="str">
        <f>S1</f>
        <v>Passenger Car</v>
      </c>
      <c r="S3" s="273" t="s">
        <v>680</v>
      </c>
      <c r="T3" s="852">
        <f>D25</f>
        <v>268575.65087087487</v>
      </c>
      <c r="U3" s="864">
        <f t="shared" ref="U3:U34" si="0">$D$24/$D$23*T3</f>
        <v>240363.2913501834</v>
      </c>
      <c r="V3" s="868">
        <v>320262.66919658618</v>
      </c>
      <c r="W3" s="869">
        <v>346795.75846684008</v>
      </c>
      <c r="X3" s="869">
        <v>352701.48057385266</v>
      </c>
      <c r="Y3" s="869">
        <v>358607.20268086524</v>
      </c>
      <c r="Z3" s="869">
        <v>362536.77263877826</v>
      </c>
      <c r="AA3" s="869">
        <v>366466.34259669122</v>
      </c>
      <c r="AB3" s="869">
        <v>368757.27234685927</v>
      </c>
      <c r="AC3" s="870">
        <v>371048.20209702745</v>
      </c>
      <c r="AD3" s="856">
        <f>U3/W3</f>
        <v>0.69309755232535941</v>
      </c>
      <c r="AE3" s="868">
        <f>V3*$AD3</f>
        <v>221973.27212134015</v>
      </c>
      <c r="AF3" s="869">
        <f t="shared" ref="AF3:AF15" si="1">W3*$AD3</f>
        <v>240363.2913501834</v>
      </c>
      <c r="AG3" s="869">
        <f t="shared" ref="AG3:AG15" si="2">X3*$AD3</f>
        <v>244456.53288726759</v>
      </c>
      <c r="AH3" s="869">
        <f t="shared" ref="AH3:AH15" si="3">Y3*$AD3</f>
        <v>248549.77442435178</v>
      </c>
      <c r="AI3" s="869">
        <f t="shared" ref="AI3:AI15" si="4">Z3*$AD3</f>
        <v>251273.34974387253</v>
      </c>
      <c r="AJ3" s="869">
        <f t="shared" ref="AJ3:AJ15" si="5">AA3*$AD3</f>
        <v>253996.92506339328</v>
      </c>
      <c r="AK3" s="869">
        <f t="shared" ref="AK3:AK15" si="6">AB3*$AD3</f>
        <v>255584.76286578411</v>
      </c>
      <c r="AL3" s="870">
        <f t="shared" ref="AL3:AL15" si="7">AC3*$AD3</f>
        <v>257172.600668175</v>
      </c>
    </row>
    <row r="4" spans="2:38" x14ac:dyDescent="0.25">
      <c r="B4" s="854">
        <v>43831</v>
      </c>
      <c r="C4" s="852">
        <v>327723</v>
      </c>
      <c r="E4" s="854">
        <v>43831</v>
      </c>
      <c r="F4" s="854">
        <v>43862</v>
      </c>
      <c r="G4" s="854">
        <v>43891</v>
      </c>
      <c r="H4" s="854">
        <v>43922</v>
      </c>
      <c r="I4" s="854">
        <v>43952</v>
      </c>
      <c r="J4" s="854">
        <v>43983</v>
      </c>
      <c r="K4" s="854">
        <v>44013</v>
      </c>
      <c r="L4" s="854">
        <v>44044</v>
      </c>
      <c r="M4" s="854">
        <v>44075</v>
      </c>
      <c r="N4" s="854">
        <v>44105</v>
      </c>
      <c r="O4" s="854">
        <v>44136</v>
      </c>
      <c r="P4" s="854">
        <v>44166</v>
      </c>
      <c r="R4" s="340" t="str">
        <f t="shared" ref="R4:R17" si="8">R3</f>
        <v>Passenger Car</v>
      </c>
      <c r="S4" s="273" t="s">
        <v>687</v>
      </c>
      <c r="T4" s="852">
        <f>D29</f>
        <v>402863.47630631231</v>
      </c>
      <c r="U4" s="864">
        <f t="shared" si="0"/>
        <v>360544.93702527508</v>
      </c>
      <c r="V4" s="871">
        <v>330565.03764846618</v>
      </c>
      <c r="W4" s="872">
        <v>362874.06927397067</v>
      </c>
      <c r="X4" s="872">
        <v>368516.17150263488</v>
      </c>
      <c r="Y4" s="872">
        <v>374158.27373129909</v>
      </c>
      <c r="Z4" s="872">
        <v>378274.98804105673</v>
      </c>
      <c r="AA4" s="872">
        <v>382391.70235081442</v>
      </c>
      <c r="AB4" s="872">
        <v>384737.65217329492</v>
      </c>
      <c r="AC4" s="873">
        <v>387083.60199577553</v>
      </c>
      <c r="AD4" s="856">
        <f t="shared" ref="AD4:AD66" si="9">U4/W4</f>
        <v>0.99358143100895679</v>
      </c>
      <c r="AE4" s="871">
        <f t="shared" ref="AE4:AE15" si="10">V4*$AD4</f>
        <v>328443.28314829268</v>
      </c>
      <c r="AF4" s="872">
        <f t="shared" si="1"/>
        <v>360544.93702527508</v>
      </c>
      <c r="AG4" s="872">
        <f t="shared" si="2"/>
        <v>366150.82503153011</v>
      </c>
      <c r="AH4" s="872">
        <f t="shared" si="3"/>
        <v>371756.71303778514</v>
      </c>
      <c r="AI4" s="872">
        <f t="shared" si="4"/>
        <v>375847.00393272919</v>
      </c>
      <c r="AJ4" s="872">
        <f t="shared" si="5"/>
        <v>379937.29482767323</v>
      </c>
      <c r="AK4" s="872">
        <f t="shared" si="6"/>
        <v>382268.18700936862</v>
      </c>
      <c r="AL4" s="873">
        <f t="shared" si="7"/>
        <v>384599.07919106411</v>
      </c>
    </row>
    <row r="5" spans="2:38" x14ac:dyDescent="0.25">
      <c r="B5" s="854">
        <v>44197</v>
      </c>
      <c r="C5" s="852">
        <v>358390</v>
      </c>
      <c r="E5" s="852">
        <f t="shared" ref="E5:P5" si="11">_xlfn.FORECAST.LINEAR(E4,$C$4:$C$5,$B$4:$B$5)</f>
        <v>327723</v>
      </c>
      <c r="F5" s="852">
        <f t="shared" si="11"/>
        <v>330320.47814207664</v>
      </c>
      <c r="G5" s="852">
        <f t="shared" si="11"/>
        <v>332750.37704918068</v>
      </c>
      <c r="H5" s="852">
        <f t="shared" si="11"/>
        <v>335347.85519125685</v>
      </c>
      <c r="I5" s="852">
        <f t="shared" si="11"/>
        <v>337861.54371584719</v>
      </c>
      <c r="J5" s="852">
        <f t="shared" si="11"/>
        <v>340459.02185792383</v>
      </c>
      <c r="K5" s="852">
        <f t="shared" si="11"/>
        <v>342972.7103825137</v>
      </c>
      <c r="L5" s="852">
        <f t="shared" si="11"/>
        <v>345570.18852459034</v>
      </c>
      <c r="M5" s="852">
        <f t="shared" si="11"/>
        <v>348167.66666666698</v>
      </c>
      <c r="N5" s="852">
        <f t="shared" si="11"/>
        <v>350681.35519125685</v>
      </c>
      <c r="O5" s="852">
        <f t="shared" si="11"/>
        <v>353278.83333333349</v>
      </c>
      <c r="P5" s="852">
        <f t="shared" si="11"/>
        <v>355792.52185792383</v>
      </c>
      <c r="R5" s="340" t="str">
        <f t="shared" si="8"/>
        <v>Passenger Car</v>
      </c>
      <c r="S5" s="273" t="s">
        <v>688</v>
      </c>
      <c r="T5" s="852">
        <f>D33</f>
        <v>492130.96953029517</v>
      </c>
      <c r="U5" s="864">
        <f t="shared" si="0"/>
        <v>440435.38283569069</v>
      </c>
      <c r="V5" s="871">
        <v>394510.70272290101</v>
      </c>
      <c r="W5" s="872">
        <v>374543.90974527999</v>
      </c>
      <c r="X5" s="872">
        <v>371312.21028277103</v>
      </c>
      <c r="Y5" s="872">
        <v>368080.51082026208</v>
      </c>
      <c r="Z5" s="872">
        <v>368595.17976320512</v>
      </c>
      <c r="AA5" s="872">
        <v>369109.84870614816</v>
      </c>
      <c r="AB5" s="872">
        <v>369271.49063353211</v>
      </c>
      <c r="AC5" s="873">
        <v>369433.13256091613</v>
      </c>
      <c r="AD5" s="856">
        <f t="shared" si="9"/>
        <v>1.1759245615159575</v>
      </c>
      <c r="AE5" s="871">
        <f t="shared" si="10"/>
        <v>463914.82511277962</v>
      </c>
      <c r="AF5" s="872">
        <f t="shared" si="1"/>
        <v>440435.38283569075</v>
      </c>
      <c r="AG5" s="872">
        <f t="shared" si="2"/>
        <v>436635.14806228853</v>
      </c>
      <c r="AH5" s="872">
        <f t="shared" si="3"/>
        <v>432834.91328888631</v>
      </c>
      <c r="AI5" s="872">
        <f t="shared" si="4"/>
        <v>433440.12513994251</v>
      </c>
      <c r="AJ5" s="872">
        <f t="shared" si="5"/>
        <v>434045.33699099865</v>
      </c>
      <c r="AK5" s="872">
        <f t="shared" si="6"/>
        <v>434235.41570358025</v>
      </c>
      <c r="AL5" s="873">
        <f t="shared" si="7"/>
        <v>434425.49441616191</v>
      </c>
    </row>
    <row r="6" spans="2:38" x14ac:dyDescent="0.25">
      <c r="C6" s="849" t="s">
        <v>1313</v>
      </c>
      <c r="E6" s="849">
        <f>'[7]CPI-hist'!B23</f>
        <v>91.9</v>
      </c>
      <c r="F6" s="849">
        <f>'[7]CPI-hist'!C23</f>
        <v>92.8</v>
      </c>
      <c r="G6" s="849">
        <f>'[7]CPI-hist'!D23</f>
        <v>93.1</v>
      </c>
      <c r="H6" s="849">
        <f>'[7]CPI-hist'!E23</f>
        <v>92.6</v>
      </c>
      <c r="I6" s="849">
        <f>'[7]CPI-hist'!F23</f>
        <v>92</v>
      </c>
      <c r="J6" s="849">
        <f>'[7]CPI-hist'!G23</f>
        <v>92.5</v>
      </c>
      <c r="K6" s="849">
        <f>'[7]CPI-hist'!H23</f>
        <v>93.7</v>
      </c>
      <c r="L6" s="849">
        <f>'[7]CPI-hist'!I23</f>
        <v>93.9</v>
      </c>
      <c r="M6" s="849">
        <f>'[7]CPI-hist'!J23</f>
        <v>94</v>
      </c>
      <c r="N6" s="849">
        <f>'[7]CPI-hist'!K23</f>
        <v>94.3</v>
      </c>
      <c r="O6" s="849">
        <f>'[7]CPI-hist'!L23</f>
        <v>94.3</v>
      </c>
      <c r="P6" s="849">
        <f>'[7]CPI-hist'!M23</f>
        <v>94.4</v>
      </c>
      <c r="R6" s="340" t="str">
        <f t="shared" si="8"/>
        <v>Passenger Car</v>
      </c>
      <c r="S6" s="273" t="s">
        <v>689</v>
      </c>
      <c r="T6" s="852">
        <f>D35</f>
        <v>738196.45429544279</v>
      </c>
      <c r="U6" s="864">
        <f t="shared" si="0"/>
        <v>660653.07425353606</v>
      </c>
      <c r="V6" s="871">
        <v>395481.43398802093</v>
      </c>
      <c r="W6" s="872">
        <v>386013.68604714214</v>
      </c>
      <c r="X6" s="872">
        <v>382958.30177482724</v>
      </c>
      <c r="Y6" s="872">
        <v>379902.91750251234</v>
      </c>
      <c r="Z6" s="872">
        <v>380663.70247783005</v>
      </c>
      <c r="AA6" s="872">
        <v>381424.48745314771</v>
      </c>
      <c r="AB6" s="872">
        <v>381675.02828246955</v>
      </c>
      <c r="AC6" s="873">
        <v>381925.56911179138</v>
      </c>
      <c r="AD6" s="856">
        <f t="shared" si="9"/>
        <v>1.7114757795734046</v>
      </c>
      <c r="AE6" s="871">
        <f t="shared" si="10"/>
        <v>676856.89554145606</v>
      </c>
      <c r="AF6" s="872">
        <f t="shared" si="1"/>
        <v>660653.07425353606</v>
      </c>
      <c r="AG6" s="872">
        <f t="shared" si="2"/>
        <v>655423.85807417962</v>
      </c>
      <c r="AH6" s="872">
        <f t="shared" si="3"/>
        <v>650194.64189482306</v>
      </c>
      <c r="AI6" s="872">
        <f t="shared" si="4"/>
        <v>651496.70695354277</v>
      </c>
      <c r="AJ6" s="872">
        <f t="shared" si="5"/>
        <v>652798.77201226226</v>
      </c>
      <c r="AK6" s="872">
        <f t="shared" si="6"/>
        <v>653227.5665734408</v>
      </c>
      <c r="AL6" s="873">
        <f t="shared" si="7"/>
        <v>653656.36113461934</v>
      </c>
    </row>
    <row r="7" spans="2:38" x14ac:dyDescent="0.25">
      <c r="C7" s="849" t="s">
        <v>1312</v>
      </c>
      <c r="E7" s="849">
        <f t="shared" ref="E7:P7" si="12">E6/$E6</f>
        <v>1</v>
      </c>
      <c r="F7" s="849">
        <f t="shared" si="12"/>
        <v>1.0097932535364527</v>
      </c>
      <c r="G7" s="849">
        <f t="shared" si="12"/>
        <v>1.0130576713819368</v>
      </c>
      <c r="H7" s="849">
        <f t="shared" si="12"/>
        <v>1.0076169749727963</v>
      </c>
      <c r="I7" s="849">
        <f t="shared" si="12"/>
        <v>1.001088139281828</v>
      </c>
      <c r="J7" s="849">
        <f t="shared" si="12"/>
        <v>1.0065288356909683</v>
      </c>
      <c r="K7" s="849">
        <f t="shared" si="12"/>
        <v>1.0195865070729053</v>
      </c>
      <c r="L7" s="849">
        <f t="shared" si="12"/>
        <v>1.0217627856365614</v>
      </c>
      <c r="M7" s="849">
        <f t="shared" si="12"/>
        <v>1.0228509249183895</v>
      </c>
      <c r="N7" s="849">
        <f t="shared" si="12"/>
        <v>1.0261153427638736</v>
      </c>
      <c r="O7" s="849">
        <f t="shared" si="12"/>
        <v>1.0261153427638736</v>
      </c>
      <c r="P7" s="849">
        <f t="shared" si="12"/>
        <v>1.0272034820457019</v>
      </c>
      <c r="R7" s="340" t="str">
        <f t="shared" si="8"/>
        <v>Passenger Car</v>
      </c>
      <c r="S7" s="273" t="s">
        <v>691</v>
      </c>
      <c r="T7" s="852">
        <f>D37</f>
        <v>654534.18947529257</v>
      </c>
      <c r="U7" s="864">
        <f t="shared" si="0"/>
        <v>585779.0591714686</v>
      </c>
      <c r="V7" s="871">
        <v>526171.82631130482</v>
      </c>
      <c r="W7" s="872">
        <v>427333.54114544444</v>
      </c>
      <c r="X7" s="872">
        <v>414093.61090799741</v>
      </c>
      <c r="Y7" s="872">
        <v>400853.68067055038</v>
      </c>
      <c r="Z7" s="872">
        <v>399527.55714761006</v>
      </c>
      <c r="AA7" s="872">
        <v>398201.43362466968</v>
      </c>
      <c r="AB7" s="872">
        <v>396667.52129939443</v>
      </c>
      <c r="AC7" s="873">
        <v>395133.6089741193</v>
      </c>
      <c r="AD7" s="856">
        <f t="shared" si="9"/>
        <v>1.3707771629657703</v>
      </c>
      <c r="AE7" s="871">
        <f t="shared" si="10"/>
        <v>721264.32330352848</v>
      </c>
      <c r="AF7" s="872">
        <f t="shared" si="1"/>
        <v>585779.0591714686</v>
      </c>
      <c r="AG7" s="872">
        <f t="shared" si="2"/>
        <v>567630.06516271632</v>
      </c>
      <c r="AH7" s="872">
        <f t="shared" si="3"/>
        <v>549481.07115396392</v>
      </c>
      <c r="AI7" s="872">
        <f t="shared" si="4"/>
        <v>547663.25131344562</v>
      </c>
      <c r="AJ7" s="872">
        <f t="shared" si="5"/>
        <v>545845.43147292722</v>
      </c>
      <c r="AK7" s="872">
        <f t="shared" si="6"/>
        <v>543742.77948744816</v>
      </c>
      <c r="AL7" s="873">
        <f t="shared" si="7"/>
        <v>541640.12750196934</v>
      </c>
    </row>
    <row r="8" spans="2:38" x14ac:dyDescent="0.25">
      <c r="C8" s="849" t="s">
        <v>1311</v>
      </c>
      <c r="E8" s="852">
        <f t="shared" ref="E8:P8" si="13">E5/E7</f>
        <v>327723</v>
      </c>
      <c r="F8" s="852">
        <f t="shared" si="13"/>
        <v>327116.93902216427</v>
      </c>
      <c r="G8" s="852">
        <f t="shared" si="13"/>
        <v>328461.43556197319</v>
      </c>
      <c r="H8" s="852">
        <f t="shared" si="13"/>
        <v>332812.82820816967</v>
      </c>
      <c r="I8" s="852">
        <f t="shared" si="13"/>
        <v>337494.30290746043</v>
      </c>
      <c r="J8" s="852">
        <f t="shared" si="13"/>
        <v>338250.63901344006</v>
      </c>
      <c r="K8" s="852">
        <f t="shared" si="13"/>
        <v>336384.1204285273</v>
      </c>
      <c r="L8" s="852">
        <f t="shared" si="13"/>
        <v>338209.80112257565</v>
      </c>
      <c r="M8" s="852">
        <f t="shared" si="13"/>
        <v>340389.45283687976</v>
      </c>
      <c r="N8" s="852">
        <f t="shared" si="13"/>
        <v>341756.27298066288</v>
      </c>
      <c r="O8" s="852">
        <f t="shared" si="13"/>
        <v>344287.64351360925</v>
      </c>
      <c r="P8" s="852">
        <f t="shared" si="13"/>
        <v>346370.05041041522</v>
      </c>
      <c r="R8" s="340" t="str">
        <f t="shared" si="8"/>
        <v>Passenger Car</v>
      </c>
      <c r="S8" s="273" t="s">
        <v>695</v>
      </c>
      <c r="T8" s="852">
        <f>D38</f>
        <v>981801.28421293898</v>
      </c>
      <c r="U8" s="864">
        <f t="shared" si="0"/>
        <v>878668.58875720296</v>
      </c>
      <c r="V8" s="871">
        <v>532428.30225914449</v>
      </c>
      <c r="W8" s="872">
        <v>440029.45085484016</v>
      </c>
      <c r="X8" s="872">
        <v>426660.11179427273</v>
      </c>
      <c r="Y8" s="872">
        <v>413290.77273370523</v>
      </c>
      <c r="Z8" s="872">
        <v>412151.79356260953</v>
      </c>
      <c r="AA8" s="872">
        <v>411012.81439151382</v>
      </c>
      <c r="AB8" s="872">
        <v>409533.92213855108</v>
      </c>
      <c r="AC8" s="873">
        <v>408055.02988558827</v>
      </c>
      <c r="AD8" s="856">
        <f t="shared" si="9"/>
        <v>1.9968404093185663</v>
      </c>
      <c r="AE8" s="871">
        <f t="shared" si="10"/>
        <v>1063174.3490159395</v>
      </c>
      <c r="AF8" s="872">
        <f t="shared" si="1"/>
        <v>878668.58875720296</v>
      </c>
      <c r="AG8" s="872">
        <f t="shared" si="2"/>
        <v>851972.15227518079</v>
      </c>
      <c r="AH8" s="872">
        <f t="shared" si="3"/>
        <v>825275.71579315851</v>
      </c>
      <c r="AI8" s="872">
        <f t="shared" si="4"/>
        <v>823001.35615894245</v>
      </c>
      <c r="AJ8" s="872">
        <f t="shared" si="5"/>
        <v>820726.99652472639</v>
      </c>
      <c r="AK8" s="872">
        <f t="shared" si="6"/>
        <v>817773.88471298222</v>
      </c>
      <c r="AL8" s="873">
        <f t="shared" si="7"/>
        <v>814820.77290123794</v>
      </c>
    </row>
    <row r="9" spans="2:38" x14ac:dyDescent="0.25">
      <c r="C9" s="849" t="s">
        <v>1310</v>
      </c>
      <c r="E9" s="852">
        <f>AVERAGE(E8:P8)</f>
        <v>336604.70716715645</v>
      </c>
      <c r="R9" s="340" t="str">
        <f t="shared" si="8"/>
        <v>Passenger Car</v>
      </c>
      <c r="S9" s="273" t="s">
        <v>839</v>
      </c>
      <c r="T9" s="852">
        <f>D40</f>
        <v>870530.4720021392</v>
      </c>
      <c r="U9" s="864">
        <f t="shared" si="0"/>
        <v>779086.14869805332</v>
      </c>
      <c r="V9" s="871">
        <v>706853.58881499863</v>
      </c>
      <c r="W9" s="872">
        <v>487918.3911366309</v>
      </c>
      <c r="X9" s="872">
        <v>459639.29374443309</v>
      </c>
      <c r="Y9" s="872">
        <v>431360.19635223533</v>
      </c>
      <c r="Z9" s="872">
        <v>428119.37781269115</v>
      </c>
      <c r="AA9" s="872">
        <v>424878.55927314708</v>
      </c>
      <c r="AB9" s="872">
        <v>421601.55996549304</v>
      </c>
      <c r="AC9" s="873">
        <v>418324.56065783888</v>
      </c>
      <c r="AD9" s="856">
        <f t="shared" si="9"/>
        <v>1.5967550370116859</v>
      </c>
      <c r="AE9" s="871">
        <f t="shared" si="10"/>
        <v>1128672.0283701362</v>
      </c>
      <c r="AF9" s="872">
        <f t="shared" si="1"/>
        <v>779086.14869805332</v>
      </c>
      <c r="AG9" s="872">
        <f t="shared" si="2"/>
        <v>733931.35749491747</v>
      </c>
      <c r="AH9" s="872">
        <f t="shared" si="3"/>
        <v>688776.56629178161</v>
      </c>
      <c r="AI9" s="872">
        <f t="shared" si="4"/>
        <v>683601.77296472352</v>
      </c>
      <c r="AJ9" s="872">
        <f t="shared" si="5"/>
        <v>678426.97963766579</v>
      </c>
      <c r="AK9" s="872">
        <f t="shared" si="6"/>
        <v>673194.4144868853</v>
      </c>
      <c r="AL9" s="873">
        <f t="shared" si="7"/>
        <v>667961.8493361047</v>
      </c>
    </row>
    <row r="10" spans="2:38" x14ac:dyDescent="0.25">
      <c r="C10" s="849" t="s">
        <v>1309</v>
      </c>
      <c r="E10" s="849">
        <f>AVERAGE(E7:P7)</f>
        <v>1.0151432716721069</v>
      </c>
      <c r="R10" s="340" t="str">
        <f t="shared" si="8"/>
        <v>Passenger Car</v>
      </c>
      <c r="S10" s="273" t="s">
        <v>838</v>
      </c>
      <c r="T10" s="852">
        <f>D41</f>
        <v>1305795.708003209</v>
      </c>
      <c r="U10" s="864">
        <f t="shared" si="0"/>
        <v>1168629.22304708</v>
      </c>
      <c r="V10" s="871">
        <v>706989.87665374181</v>
      </c>
      <c r="W10" s="872">
        <v>495608.70952664141</v>
      </c>
      <c r="X10" s="872">
        <v>467425.66397272615</v>
      </c>
      <c r="Y10" s="872">
        <v>439242.61841881095</v>
      </c>
      <c r="Z10" s="872">
        <v>436188.94423111144</v>
      </c>
      <c r="AA10" s="872">
        <v>433135.27004341205</v>
      </c>
      <c r="AB10" s="872">
        <v>429913.29080807028</v>
      </c>
      <c r="AC10" s="873">
        <v>426691.31157272856</v>
      </c>
      <c r="AD10" s="856">
        <f t="shared" si="9"/>
        <v>2.3579674864133122</v>
      </c>
      <c r="AE10" s="871">
        <f t="shared" si="10"/>
        <v>1667059.1423728813</v>
      </c>
      <c r="AF10" s="872">
        <f t="shared" si="1"/>
        <v>1168629.22304708</v>
      </c>
      <c r="AG10" s="872">
        <f t="shared" si="2"/>
        <v>1102174.5179628425</v>
      </c>
      <c r="AH10" s="872">
        <f t="shared" si="3"/>
        <v>1035719.8128786053</v>
      </c>
      <c r="AI10" s="872">
        <f t="shared" si="4"/>
        <v>1028519.3484299103</v>
      </c>
      <c r="AJ10" s="872">
        <f t="shared" si="5"/>
        <v>1021318.8839812155</v>
      </c>
      <c r="AK10" s="872">
        <f t="shared" si="6"/>
        <v>1013721.5617023808</v>
      </c>
      <c r="AL10" s="873">
        <f t="shared" si="7"/>
        <v>1006124.2394235462</v>
      </c>
    </row>
    <row r="11" spans="2:38" x14ac:dyDescent="0.25">
      <c r="C11" s="849" t="s">
        <v>1308</v>
      </c>
      <c r="E11" s="852">
        <f>E9*E10</f>
        <v>341702.00369389867</v>
      </c>
      <c r="R11" s="340" t="str">
        <f t="shared" si="8"/>
        <v>Passenger Car</v>
      </c>
      <c r="S11" s="273" t="s">
        <v>692</v>
      </c>
      <c r="T11" s="852">
        <f>D44</f>
        <v>1637900</v>
      </c>
      <c r="U11" s="864">
        <f t="shared" si="0"/>
        <v>1465847.8295627148</v>
      </c>
      <c r="V11" s="871">
        <v>822704.66197061795</v>
      </c>
      <c r="W11" s="872">
        <v>558548.57595396275</v>
      </c>
      <c r="X11" s="872">
        <v>510538.78588041413</v>
      </c>
      <c r="Y11" s="872">
        <v>462528.99580686545</v>
      </c>
      <c r="Z11" s="872">
        <v>465643.43099478865</v>
      </c>
      <c r="AA11" s="872">
        <v>468757.86618271179</v>
      </c>
      <c r="AB11" s="872">
        <v>470350.94411613682</v>
      </c>
      <c r="AC11" s="873">
        <v>471944.02204956167</v>
      </c>
      <c r="AD11" s="856">
        <f t="shared" si="9"/>
        <v>2.6243873723232523</v>
      </c>
      <c r="AE11" s="871">
        <f t="shared" si="10"/>
        <v>2159095.7260271595</v>
      </c>
      <c r="AF11" s="872">
        <f t="shared" si="1"/>
        <v>1465847.8295627148</v>
      </c>
      <c r="AG11" s="872">
        <f t="shared" si="2"/>
        <v>1339851.5427458035</v>
      </c>
      <c r="AH11" s="872">
        <f t="shared" si="3"/>
        <v>1213855.2559288922</v>
      </c>
      <c r="AI11" s="872">
        <f t="shared" si="4"/>
        <v>1222028.740307997</v>
      </c>
      <c r="AJ11" s="872">
        <f t="shared" si="5"/>
        <v>1230202.2246871018</v>
      </c>
      <c r="AK11" s="872">
        <f t="shared" si="6"/>
        <v>1234383.0782987091</v>
      </c>
      <c r="AL11" s="873">
        <f t="shared" si="7"/>
        <v>1238563.9319103162</v>
      </c>
    </row>
    <row r="12" spans="2:38" x14ac:dyDescent="0.25">
      <c r="R12" s="340" t="str">
        <f t="shared" si="8"/>
        <v>Passenger Car</v>
      </c>
      <c r="S12" s="273" t="s">
        <v>699</v>
      </c>
      <c r="T12" s="852">
        <f>D46</f>
        <v>2456850</v>
      </c>
      <c r="U12" s="864">
        <f t="shared" si="0"/>
        <v>2198771.7443440724</v>
      </c>
      <c r="V12" s="871">
        <v>2484175.8049663589</v>
      </c>
      <c r="W12" s="872">
        <v>982112.7518947263</v>
      </c>
      <c r="X12" s="872">
        <v>749223.93872757931</v>
      </c>
      <c r="Y12" s="872">
        <v>516335.12556043221</v>
      </c>
      <c r="Z12" s="872">
        <v>488716.56129250687</v>
      </c>
      <c r="AA12" s="872">
        <v>461097.99702458159</v>
      </c>
      <c r="AB12" s="872">
        <v>454114.11403926561</v>
      </c>
      <c r="AC12" s="873">
        <v>447130.23105394962</v>
      </c>
      <c r="AD12" s="856">
        <f t="shared" si="9"/>
        <v>2.2388180380532936</v>
      </c>
      <c r="AE12" s="871">
        <f t="shared" si="10"/>
        <v>5561617.6018542452</v>
      </c>
      <c r="AF12" s="872">
        <f t="shared" si="1"/>
        <v>2198771.7443440724</v>
      </c>
      <c r="AG12" s="872">
        <f t="shared" si="2"/>
        <v>1677376.0685646401</v>
      </c>
      <c r="AH12" s="872">
        <f t="shared" si="3"/>
        <v>1155980.3927852078</v>
      </c>
      <c r="AI12" s="872">
        <f t="shared" si="4"/>
        <v>1094147.4529170424</v>
      </c>
      <c r="AJ12" s="872">
        <f t="shared" si="5"/>
        <v>1032314.5130488771</v>
      </c>
      <c r="AK12" s="872">
        <f t="shared" si="6"/>
        <v>1016678.8698456982</v>
      </c>
      <c r="AL12" s="873">
        <f t="shared" si="7"/>
        <v>1001043.2266425194</v>
      </c>
    </row>
    <row r="13" spans="2:38" x14ac:dyDescent="0.25">
      <c r="R13" s="340" t="str">
        <f t="shared" si="8"/>
        <v>Passenger Car</v>
      </c>
      <c r="S13" s="273" t="s">
        <v>837</v>
      </c>
      <c r="T13" s="852">
        <f>D47</f>
        <v>2702535</v>
      </c>
      <c r="U13" s="864">
        <f t="shared" si="0"/>
        <v>2418648.9187784796</v>
      </c>
      <c r="V13" s="871">
        <v>2631614.9920631466</v>
      </c>
      <c r="W13" s="872">
        <v>1040715.6985942443</v>
      </c>
      <c r="X13" s="872">
        <v>797544.7354478729</v>
      </c>
      <c r="Y13" s="872">
        <v>554373.77230150148</v>
      </c>
      <c r="Z13" s="872">
        <v>525072.61435889918</v>
      </c>
      <c r="AA13" s="872">
        <v>495771.45641629689</v>
      </c>
      <c r="AB13" s="872">
        <v>487246.68369685335</v>
      </c>
      <c r="AC13" s="873">
        <v>478721.91097740986</v>
      </c>
      <c r="AD13" s="856">
        <f t="shared" si="9"/>
        <v>2.3240246323232086</v>
      </c>
      <c r="AE13" s="871">
        <f t="shared" si="10"/>
        <v>6115938.0643457975</v>
      </c>
      <c r="AF13" s="872">
        <f t="shared" si="1"/>
        <v>2418648.9187784796</v>
      </c>
      <c r="AG13" s="872">
        <f t="shared" si="2"/>
        <v>1853513.6105605534</v>
      </c>
      <c r="AH13" s="872">
        <f t="shared" si="3"/>
        <v>1288378.3023426272</v>
      </c>
      <c r="AI13" s="872">
        <f t="shared" si="4"/>
        <v>1220281.6895284266</v>
      </c>
      <c r="AJ13" s="872">
        <f t="shared" si="5"/>
        <v>1152185.076714226</v>
      </c>
      <c r="AK13" s="872">
        <f t="shared" si="6"/>
        <v>1132373.2949292823</v>
      </c>
      <c r="AL13" s="873">
        <f t="shared" si="7"/>
        <v>1112561.5131443387</v>
      </c>
    </row>
    <row r="14" spans="2:38" x14ac:dyDescent="0.25">
      <c r="B14" s="849" t="s">
        <v>1317</v>
      </c>
      <c r="F14" s="849" t="s">
        <v>1307</v>
      </c>
      <c r="G14" s="853" t="s">
        <v>1306</v>
      </c>
      <c r="R14" s="340" t="str">
        <f t="shared" si="8"/>
        <v>Passenger Car</v>
      </c>
      <c r="S14" s="273" t="s">
        <v>836</v>
      </c>
      <c r="T14" s="852">
        <f>D48</f>
        <v>1965480</v>
      </c>
      <c r="U14" s="864">
        <f t="shared" si="0"/>
        <v>1759017.3954752579</v>
      </c>
      <c r="V14" s="871">
        <v>1813155.306207042</v>
      </c>
      <c r="W14" s="872">
        <v>797976.63279271475</v>
      </c>
      <c r="X14" s="872">
        <v>649257.67906194751</v>
      </c>
      <c r="Y14" s="872">
        <v>500538.72533118032</v>
      </c>
      <c r="Z14" s="872">
        <v>482558.39640777424</v>
      </c>
      <c r="AA14" s="872">
        <v>464578.0674843684</v>
      </c>
      <c r="AB14" s="872">
        <v>457318.28142704588</v>
      </c>
      <c r="AC14" s="873">
        <v>450058.49536972342</v>
      </c>
      <c r="AD14" s="856">
        <f t="shared" si="9"/>
        <v>2.20434699863221</v>
      </c>
      <c r="AE14" s="871">
        <f t="shared" si="10"/>
        <v>3996823.4572915584</v>
      </c>
      <c r="AF14" s="872">
        <f t="shared" si="1"/>
        <v>1759017.3954752579</v>
      </c>
      <c r="AG14" s="872">
        <f t="shared" si="2"/>
        <v>1431189.2161791187</v>
      </c>
      <c r="AH14" s="872">
        <f t="shared" si="3"/>
        <v>1103361.0368829796</v>
      </c>
      <c r="AI14" s="872">
        <f t="shared" si="4"/>
        <v>1063726.1527862493</v>
      </c>
      <c r="AJ14" s="872">
        <f t="shared" si="5"/>
        <v>1024091.2686895197</v>
      </c>
      <c r="AK14" s="872">
        <f t="shared" si="6"/>
        <v>1008088.1810833489</v>
      </c>
      <c r="AL14" s="873">
        <f t="shared" si="7"/>
        <v>992085.09347717813</v>
      </c>
    </row>
    <row r="15" spans="2:38" x14ac:dyDescent="0.25">
      <c r="B15" s="849" t="s">
        <v>390</v>
      </c>
      <c r="C15" s="849">
        <v>1</v>
      </c>
      <c r="D15" s="849">
        <v>179000</v>
      </c>
      <c r="R15" s="340" t="str">
        <f t="shared" si="8"/>
        <v>Passenger Car</v>
      </c>
      <c r="S15" s="273" t="s">
        <v>700</v>
      </c>
      <c r="T15" s="852">
        <f>D50</f>
        <v>443149.82393694361</v>
      </c>
      <c r="U15" s="864">
        <f t="shared" si="0"/>
        <v>396599.43072780268</v>
      </c>
      <c r="V15" s="871">
        <v>347145.65248339355</v>
      </c>
      <c r="W15" s="872">
        <v>365503.62501818576</v>
      </c>
      <c r="X15" s="872">
        <v>369197.8959029917</v>
      </c>
      <c r="Y15" s="872">
        <v>372892.16678779764</v>
      </c>
      <c r="Z15" s="872">
        <v>375736.74937961187</v>
      </c>
      <c r="AA15" s="872">
        <v>378581.33197142603</v>
      </c>
      <c r="AB15" s="872">
        <v>380157.85098815529</v>
      </c>
      <c r="AC15" s="873">
        <v>381734.37000488449</v>
      </c>
      <c r="AD15" s="856">
        <f t="shared" si="9"/>
        <v>1.0850766000147598</v>
      </c>
      <c r="AE15" s="871">
        <f t="shared" si="10"/>
        <v>376679.62430658605</v>
      </c>
      <c r="AF15" s="872">
        <f t="shared" si="1"/>
        <v>396599.43072780268</v>
      </c>
      <c r="AG15" s="872">
        <f t="shared" si="2"/>
        <v>400607.99761902145</v>
      </c>
      <c r="AH15" s="872">
        <f t="shared" si="3"/>
        <v>404616.56451024022</v>
      </c>
      <c r="AI15" s="872">
        <f t="shared" si="4"/>
        <v>407703.15451742715</v>
      </c>
      <c r="AJ15" s="872">
        <f t="shared" si="5"/>
        <v>410789.74452461401</v>
      </c>
      <c r="AK15" s="872">
        <f t="shared" si="6"/>
        <v>412500.38841914525</v>
      </c>
      <c r="AL15" s="873">
        <f t="shared" si="7"/>
        <v>414211.03231367638</v>
      </c>
    </row>
    <row r="16" spans="2:38" x14ac:dyDescent="0.25">
      <c r="B16" s="849" t="s">
        <v>1305</v>
      </c>
      <c r="C16" s="849">
        <v>47</v>
      </c>
      <c r="D16" s="849">
        <v>229900</v>
      </c>
      <c r="R16" s="340" t="str">
        <f t="shared" si="8"/>
        <v>Passenger Car</v>
      </c>
      <c r="S16" s="277"/>
      <c r="U16" s="864">
        <f t="shared" si="0"/>
        <v>0</v>
      </c>
      <c r="V16" s="874"/>
      <c r="W16" s="875"/>
      <c r="X16" s="875"/>
      <c r="Y16" s="875"/>
      <c r="Z16" s="875"/>
      <c r="AA16" s="875"/>
      <c r="AB16" s="875"/>
      <c r="AC16" s="876"/>
      <c r="AD16" s="856" t="e">
        <f t="shared" si="9"/>
        <v>#DIV/0!</v>
      </c>
      <c r="AE16" s="874"/>
      <c r="AF16" s="875"/>
      <c r="AG16" s="875"/>
      <c r="AH16" s="875"/>
      <c r="AI16" s="875"/>
      <c r="AJ16" s="875"/>
      <c r="AK16" s="875"/>
      <c r="AL16" s="876"/>
    </row>
    <row r="17" spans="2:38" x14ac:dyDescent="0.25">
      <c r="B17" s="849" t="s">
        <v>1304</v>
      </c>
      <c r="C17" s="849">
        <v>94</v>
      </c>
      <c r="D17" s="849">
        <v>273900</v>
      </c>
      <c r="R17" s="340" t="str">
        <f t="shared" si="8"/>
        <v>Passenger Car</v>
      </c>
      <c r="S17" s="277"/>
      <c r="U17" s="864">
        <f t="shared" si="0"/>
        <v>0</v>
      </c>
      <c r="V17" s="874"/>
      <c r="W17" s="875"/>
      <c r="X17" s="875"/>
      <c r="Y17" s="875"/>
      <c r="Z17" s="875"/>
      <c r="AA17" s="875"/>
      <c r="AB17" s="875"/>
      <c r="AC17" s="876"/>
      <c r="AD17" s="856" t="e">
        <f t="shared" si="9"/>
        <v>#DIV/0!</v>
      </c>
      <c r="AE17" s="874"/>
      <c r="AF17" s="875"/>
      <c r="AG17" s="875"/>
      <c r="AH17" s="875"/>
      <c r="AI17" s="875"/>
      <c r="AJ17" s="875"/>
      <c r="AK17" s="875"/>
      <c r="AL17" s="876"/>
    </row>
    <row r="18" spans="2:38" x14ac:dyDescent="0.25">
      <c r="B18" s="849" t="s">
        <v>1303</v>
      </c>
      <c r="C18" s="849">
        <f>+C16+C17</f>
        <v>141</v>
      </c>
      <c r="D18" s="849">
        <v>310000</v>
      </c>
      <c r="R18" s="340" t="str">
        <f>S18</f>
        <v>Motorcycle or Moped</v>
      </c>
      <c r="S18" s="521" t="s">
        <v>715</v>
      </c>
      <c r="U18" s="864">
        <f t="shared" si="0"/>
        <v>0</v>
      </c>
      <c r="V18" s="877">
        <v>2010</v>
      </c>
      <c r="W18" s="865">
        <v>2020</v>
      </c>
      <c r="X18" s="865"/>
      <c r="Y18" s="865">
        <v>2030</v>
      </c>
      <c r="Z18" s="865"/>
      <c r="AA18" s="865">
        <v>2040</v>
      </c>
      <c r="AB18" s="865"/>
      <c r="AC18" s="878">
        <v>2050</v>
      </c>
      <c r="AD18" s="856">
        <f t="shared" si="9"/>
        <v>0</v>
      </c>
      <c r="AE18" s="877">
        <v>2010</v>
      </c>
      <c r="AF18" s="865">
        <v>2020</v>
      </c>
      <c r="AG18" s="865"/>
      <c r="AH18" s="865">
        <v>2030</v>
      </c>
      <c r="AI18" s="865"/>
      <c r="AJ18" s="865">
        <v>2040</v>
      </c>
      <c r="AK18" s="865"/>
      <c r="AL18" s="878">
        <v>2050</v>
      </c>
    </row>
    <row r="19" spans="2:38" x14ac:dyDescent="0.25">
      <c r="B19" s="849" t="s">
        <v>388</v>
      </c>
      <c r="C19" s="849">
        <v>187</v>
      </c>
      <c r="D19" s="849">
        <v>412500</v>
      </c>
      <c r="R19" s="340" t="str">
        <f t="shared" ref="R19:R25" si="14">R18</f>
        <v>Motorcycle or Moped</v>
      </c>
      <c r="S19" s="465" t="s">
        <v>1323</v>
      </c>
      <c r="U19" s="864">
        <f t="shared" si="0"/>
        <v>0</v>
      </c>
      <c r="V19" s="879" t="s">
        <v>1347</v>
      </c>
      <c r="W19" s="867" t="s">
        <v>1347</v>
      </c>
      <c r="X19" s="867"/>
      <c r="Y19" s="867" t="s">
        <v>1347</v>
      </c>
      <c r="Z19" s="867"/>
      <c r="AA19" s="867" t="s">
        <v>1347</v>
      </c>
      <c r="AB19" s="867"/>
      <c r="AC19" s="880" t="s">
        <v>1347</v>
      </c>
      <c r="AD19" s="856" t="e">
        <f t="shared" si="9"/>
        <v>#VALUE!</v>
      </c>
      <c r="AE19" s="879" t="s">
        <v>1347</v>
      </c>
      <c r="AF19" s="867" t="s">
        <v>1347</v>
      </c>
      <c r="AG19" s="867"/>
      <c r="AH19" s="867" t="s">
        <v>1347</v>
      </c>
      <c r="AI19" s="867"/>
      <c r="AJ19" s="867" t="s">
        <v>1347</v>
      </c>
      <c r="AK19" s="867"/>
      <c r="AL19" s="880" t="s">
        <v>1347</v>
      </c>
    </row>
    <row r="20" spans="2:38" x14ac:dyDescent="0.25">
      <c r="R20" s="340" t="str">
        <f t="shared" si="14"/>
        <v>Motorcycle or Moped</v>
      </c>
      <c r="S20" s="501" t="s">
        <v>680</v>
      </c>
      <c r="T20" s="852">
        <f>D55</f>
        <v>112801.77336576744</v>
      </c>
      <c r="U20" s="864">
        <f t="shared" si="0"/>
        <v>100952.58236707702</v>
      </c>
      <c r="V20" s="871">
        <v>140996.2012610439</v>
      </c>
      <c r="W20" s="872">
        <v>147551.34270646883</v>
      </c>
      <c r="X20" s="872">
        <v>149612.56096433167</v>
      </c>
      <c r="Y20" s="872">
        <v>151673.77922219451</v>
      </c>
      <c r="Z20" s="872">
        <v>154018.3082464562</v>
      </c>
      <c r="AA20" s="872">
        <v>156362.83727071786</v>
      </c>
      <c r="AB20" s="872">
        <v>157446.64112516472</v>
      </c>
      <c r="AC20" s="873">
        <v>158530.44497961161</v>
      </c>
      <c r="AD20" s="856">
        <f t="shared" si="9"/>
        <v>0.68418613152105956</v>
      </c>
      <c r="AE20" s="871">
        <f t="shared" ref="AE20:AE23" si="15">V20*$AD20</f>
        <v>96467.645499958366</v>
      </c>
      <c r="AF20" s="872">
        <f t="shared" ref="AF20:AF23" si="16">W20*$AD20</f>
        <v>100952.58236707702</v>
      </c>
      <c r="AG20" s="872">
        <f t="shared" ref="AG20:AG23" si="17">X20*$AD20</f>
        <v>102362.83931314477</v>
      </c>
      <c r="AH20" s="872">
        <f t="shared" ref="AH20:AH23" si="18">Y20*$AD20</f>
        <v>103773.09625921253</v>
      </c>
      <c r="AI20" s="872">
        <f t="shared" ref="AI20:AI23" si="19">Z20*$AD20</f>
        <v>105377.19050256097</v>
      </c>
      <c r="AJ20" s="872">
        <f t="shared" ref="AJ20:AJ23" si="20">AA20*$AD20</f>
        <v>106981.2847459094</v>
      </c>
      <c r="AK20" s="872">
        <f t="shared" ref="AK20:AK23" si="21">AB20*$AD20</f>
        <v>107722.80831241101</v>
      </c>
      <c r="AL20" s="873">
        <f t="shared" ref="AL20:AL23" si="22">AC20*$AD20</f>
        <v>108464.33187891265</v>
      </c>
    </row>
    <row r="21" spans="2:38" x14ac:dyDescent="0.25">
      <c r="B21" s="849" t="s">
        <v>1302</v>
      </c>
      <c r="C21" s="849" t="s">
        <v>1301</v>
      </c>
      <c r="D21" s="852">
        <f>1173.3*94+170766</f>
        <v>281056.2</v>
      </c>
      <c r="E21" s="849" t="s">
        <v>1297</v>
      </c>
      <c r="R21" s="340" t="str">
        <f t="shared" si="14"/>
        <v>Motorcycle or Moped</v>
      </c>
      <c r="S21" s="501" t="s">
        <v>688</v>
      </c>
      <c r="T21" s="852">
        <f>D56</f>
        <v>206695.00720272397</v>
      </c>
      <c r="U21" s="864">
        <f t="shared" si="0"/>
        <v>184982.86079099006</v>
      </c>
      <c r="V21" s="871">
        <v>174409.83751082345</v>
      </c>
      <c r="W21" s="872">
        <v>159379.68232781059</v>
      </c>
      <c r="X21" s="872">
        <v>156811.16859699812</v>
      </c>
      <c r="Y21" s="872">
        <v>154242.65486618562</v>
      </c>
      <c r="Z21" s="872">
        <v>154533.27622457623</v>
      </c>
      <c r="AA21" s="872">
        <v>154823.89758296681</v>
      </c>
      <c r="AB21" s="872">
        <v>155381.98002998158</v>
      </c>
      <c r="AC21" s="873">
        <v>155940.06247699639</v>
      </c>
      <c r="AD21" s="856">
        <f t="shared" si="9"/>
        <v>1.1606426747075522</v>
      </c>
      <c r="AE21" s="871">
        <f t="shared" si="15"/>
        <v>202427.5003038717</v>
      </c>
      <c r="AF21" s="872">
        <f t="shared" si="16"/>
        <v>184982.86079099006</v>
      </c>
      <c r="AG21" s="872">
        <f t="shared" si="17"/>
        <v>182001.73414443681</v>
      </c>
      <c r="AH21" s="872">
        <f t="shared" si="18"/>
        <v>179020.60749788352</v>
      </c>
      <c r="AI21" s="872">
        <f t="shared" si="19"/>
        <v>179357.91504861315</v>
      </c>
      <c r="AJ21" s="872">
        <f t="shared" si="20"/>
        <v>179695.22259934273</v>
      </c>
      <c r="AK21" s="872">
        <f t="shared" si="21"/>
        <v>180342.9569033533</v>
      </c>
      <c r="AL21" s="873">
        <f t="shared" si="22"/>
        <v>180990.69120736388</v>
      </c>
    </row>
    <row r="22" spans="2:38" x14ac:dyDescent="0.25">
      <c r="B22" s="849" t="s">
        <v>1300</v>
      </c>
      <c r="D22" s="849">
        <f>AVERAGE('[7]CPI-hist'!$B$26:$H$26)</f>
        <v>109.08571428571427</v>
      </c>
      <c r="R22" s="340" t="str">
        <f t="shared" si="14"/>
        <v>Motorcycle or Moped</v>
      </c>
      <c r="S22" s="501" t="s">
        <v>692</v>
      </c>
      <c r="T22" s="852">
        <f>D57</f>
        <v>687918</v>
      </c>
      <c r="U22" s="864">
        <f t="shared" si="0"/>
        <v>615656.0884163403</v>
      </c>
      <c r="V22" s="871">
        <v>227296.16263597918</v>
      </c>
      <c r="W22" s="872">
        <v>181425.66913564043</v>
      </c>
      <c r="X22" s="872">
        <v>171406.95012050911</v>
      </c>
      <c r="Y22" s="872">
        <v>161388.23110537775</v>
      </c>
      <c r="Z22" s="872">
        <v>163855.32831374026</v>
      </c>
      <c r="AA22" s="872">
        <v>166322.4255221028</v>
      </c>
      <c r="AB22" s="872">
        <v>168760.32852405298</v>
      </c>
      <c r="AC22" s="873">
        <v>171198.23152600319</v>
      </c>
      <c r="AD22" s="856">
        <f t="shared" si="9"/>
        <v>3.3934342992890021</v>
      </c>
      <c r="AE22" s="871">
        <f t="shared" si="15"/>
        <v>771314.59438570309</v>
      </c>
      <c r="AF22" s="872">
        <f t="shared" si="16"/>
        <v>615656.0884163403</v>
      </c>
      <c r="AG22" s="872">
        <f t="shared" si="17"/>
        <v>581658.22367545473</v>
      </c>
      <c r="AH22" s="872">
        <f t="shared" si="18"/>
        <v>547660.35893456906</v>
      </c>
      <c r="AI22" s="872">
        <f t="shared" si="19"/>
        <v>556032.29122110654</v>
      </c>
      <c r="AJ22" s="872">
        <f t="shared" si="20"/>
        <v>564404.22350764414</v>
      </c>
      <c r="AK22" s="872">
        <f t="shared" si="21"/>
        <v>572677.08717280149</v>
      </c>
      <c r="AL22" s="873">
        <f t="shared" si="22"/>
        <v>580949.95083795895</v>
      </c>
    </row>
    <row r="23" spans="2:38" x14ac:dyDescent="0.25">
      <c r="B23" s="849" t="s">
        <v>1299</v>
      </c>
      <c r="D23" s="849">
        <f>AVERAGE('[7]CPI-hist'!$B$25:$M$25)</f>
        <v>104.24166666666667</v>
      </c>
      <c r="R23" s="340" t="str">
        <f t="shared" si="14"/>
        <v>Motorcycle or Moped</v>
      </c>
      <c r="S23" s="501" t="s">
        <v>699</v>
      </c>
      <c r="T23" s="852">
        <f>D58</f>
        <v>1031877</v>
      </c>
      <c r="U23" s="864">
        <f t="shared" si="0"/>
        <v>923484.13262451033</v>
      </c>
      <c r="V23" s="871">
        <v>1452431.4754462892</v>
      </c>
      <c r="W23" s="872">
        <v>537952.03122821182</v>
      </c>
      <c r="X23" s="885">
        <f>0.95*W23</f>
        <v>511054.42966680118</v>
      </c>
      <c r="Y23" s="885">
        <f t="shared" ref="Y23:AC23" si="23">0.95*X23</f>
        <v>485501.7081834611</v>
      </c>
      <c r="Z23" s="885">
        <f t="shared" si="23"/>
        <v>461226.622774288</v>
      </c>
      <c r="AA23" s="885">
        <f t="shared" si="23"/>
        <v>438165.29163557355</v>
      </c>
      <c r="AB23" s="885">
        <f t="shared" si="23"/>
        <v>416257.02705379488</v>
      </c>
      <c r="AC23" s="885">
        <f t="shared" si="23"/>
        <v>395444.17570110509</v>
      </c>
      <c r="AD23" s="856">
        <f t="shared" si="9"/>
        <v>1.7166663178426531</v>
      </c>
      <c r="AE23" s="871">
        <f t="shared" si="15"/>
        <v>2493340.1928731529</v>
      </c>
      <c r="AF23" s="872">
        <f t="shared" si="16"/>
        <v>923484.13262451033</v>
      </c>
      <c r="AG23" s="872">
        <f t="shared" si="17"/>
        <v>877309.92599328468</v>
      </c>
      <c r="AH23" s="872">
        <f t="shared" si="18"/>
        <v>833444.42969362042</v>
      </c>
      <c r="AI23" s="872">
        <f t="shared" si="19"/>
        <v>791772.20820893941</v>
      </c>
      <c r="AJ23" s="872">
        <f t="shared" si="20"/>
        <v>752183.59779849229</v>
      </c>
      <c r="AK23" s="872">
        <f t="shared" si="21"/>
        <v>714574.4179085677</v>
      </c>
      <c r="AL23" s="873">
        <f t="shared" si="22"/>
        <v>678845.69701313926</v>
      </c>
    </row>
    <row r="24" spans="2:38" x14ac:dyDescent="0.25">
      <c r="B24" s="856" t="s">
        <v>1356</v>
      </c>
      <c r="D24" s="849">
        <f>AVERAGE('[7]CPI-hist'!$B$23:$M$23)</f>
        <v>93.291666666666671</v>
      </c>
      <c r="R24" s="340"/>
      <c r="S24" s="340"/>
      <c r="U24" s="864">
        <f t="shared" si="0"/>
        <v>0</v>
      </c>
      <c r="V24" s="879"/>
      <c r="W24" s="867"/>
      <c r="X24" s="867"/>
      <c r="Y24" s="867"/>
      <c r="Z24" s="867"/>
      <c r="AA24" s="867"/>
      <c r="AB24" s="867"/>
      <c r="AC24" s="880"/>
      <c r="AD24" s="856" t="e">
        <f t="shared" si="9"/>
        <v>#DIV/0!</v>
      </c>
      <c r="AE24" s="879"/>
      <c r="AF24" s="867"/>
      <c r="AG24" s="867"/>
      <c r="AH24" s="867"/>
      <c r="AI24" s="867"/>
      <c r="AJ24" s="867"/>
      <c r="AK24" s="867"/>
      <c r="AL24" s="880"/>
    </row>
    <row r="25" spans="2:38" x14ac:dyDescent="0.25">
      <c r="B25" s="849" t="s">
        <v>1298</v>
      </c>
      <c r="D25" s="851">
        <f>D21*D23/D22</f>
        <v>268575.65087087487</v>
      </c>
      <c r="E25" s="850" t="s">
        <v>1297</v>
      </c>
      <c r="R25" s="340">
        <f t="shared" si="14"/>
        <v>0</v>
      </c>
      <c r="S25" s="470" t="s">
        <v>832</v>
      </c>
      <c r="U25" s="864">
        <f t="shared" si="0"/>
        <v>0</v>
      </c>
      <c r="V25" s="879"/>
      <c r="W25" s="867"/>
      <c r="X25" s="867"/>
      <c r="Y25" s="867"/>
      <c r="Z25" s="867"/>
      <c r="AA25" s="867"/>
      <c r="AB25" s="867"/>
      <c r="AC25" s="880"/>
      <c r="AD25" s="856" t="e">
        <f t="shared" si="9"/>
        <v>#DIV/0!</v>
      </c>
      <c r="AE25" s="879"/>
      <c r="AF25" s="867"/>
      <c r="AG25" s="867"/>
      <c r="AH25" s="867"/>
      <c r="AI25" s="867"/>
      <c r="AJ25" s="867"/>
      <c r="AK25" s="867"/>
      <c r="AL25" s="880"/>
    </row>
    <row r="26" spans="2:38" x14ac:dyDescent="0.25">
      <c r="R26" s="340" t="str">
        <f>S26</f>
        <v xml:space="preserve">Van / LCV </v>
      </c>
      <c r="S26" s="369" t="s">
        <v>701</v>
      </c>
      <c r="U26" s="864">
        <f t="shared" si="0"/>
        <v>0</v>
      </c>
      <c r="V26" s="877">
        <v>2010</v>
      </c>
      <c r="W26" s="865">
        <v>2020</v>
      </c>
      <c r="X26" s="865"/>
      <c r="Y26" s="865">
        <v>2030</v>
      </c>
      <c r="Z26" s="865"/>
      <c r="AA26" s="865">
        <v>2040</v>
      </c>
      <c r="AB26" s="865"/>
      <c r="AC26" s="878">
        <v>2050</v>
      </c>
      <c r="AD26" s="856">
        <f t="shared" si="9"/>
        <v>0</v>
      </c>
      <c r="AE26" s="877">
        <v>2010</v>
      </c>
      <c r="AF26" s="865">
        <v>2020</v>
      </c>
      <c r="AG26" s="865"/>
      <c r="AH26" s="865">
        <v>2030</v>
      </c>
      <c r="AI26" s="865"/>
      <c r="AJ26" s="865">
        <v>2040</v>
      </c>
      <c r="AK26" s="865"/>
      <c r="AL26" s="878">
        <v>2050</v>
      </c>
    </row>
    <row r="27" spans="2:38" x14ac:dyDescent="0.25">
      <c r="B27" s="849" t="s">
        <v>1318</v>
      </c>
      <c r="R27" s="340" t="str">
        <f t="shared" ref="R27:R42" si="24">R26</f>
        <v xml:space="preserve">Van / LCV </v>
      </c>
      <c r="S27" s="465" t="s">
        <v>1323</v>
      </c>
      <c r="U27" s="864">
        <f t="shared" si="0"/>
        <v>0</v>
      </c>
      <c r="V27" s="879" t="s">
        <v>1347</v>
      </c>
      <c r="W27" s="867" t="s">
        <v>1347</v>
      </c>
      <c r="X27" s="867"/>
      <c r="Y27" s="867" t="s">
        <v>1347</v>
      </c>
      <c r="Z27" s="867"/>
      <c r="AA27" s="867" t="s">
        <v>1347</v>
      </c>
      <c r="AB27" s="867"/>
      <c r="AC27" s="880" t="s">
        <v>1347</v>
      </c>
      <c r="AD27" s="856" t="e">
        <f t="shared" si="9"/>
        <v>#VALUE!</v>
      </c>
      <c r="AE27" s="879" t="s">
        <v>1347</v>
      </c>
      <c r="AF27" s="867" t="s">
        <v>1347</v>
      </c>
      <c r="AG27" s="867"/>
      <c r="AH27" s="867" t="s">
        <v>1347</v>
      </c>
      <c r="AI27" s="867"/>
      <c r="AJ27" s="867" t="s">
        <v>1347</v>
      </c>
      <c r="AK27" s="867"/>
      <c r="AL27" s="880" t="s">
        <v>1347</v>
      </c>
    </row>
    <row r="28" spans="2:38" x14ac:dyDescent="0.25">
      <c r="B28" s="857" t="s">
        <v>1319</v>
      </c>
      <c r="C28" s="857" t="s">
        <v>1301</v>
      </c>
      <c r="D28" s="858">
        <v>649890</v>
      </c>
      <c r="E28" s="857" t="s">
        <v>1320</v>
      </c>
      <c r="R28" s="340" t="str">
        <f t="shared" si="24"/>
        <v xml:space="preserve">Van / LCV </v>
      </c>
      <c r="S28" s="273" t="s">
        <v>680</v>
      </c>
      <c r="T28" s="852">
        <f>D61</f>
        <v>391793.58739305055</v>
      </c>
      <c r="U28" s="864">
        <f t="shared" si="0"/>
        <v>350637.87759734597</v>
      </c>
      <c r="V28" s="871">
        <v>256661.9753328345</v>
      </c>
      <c r="W28" s="872">
        <v>279008.35302471276</v>
      </c>
      <c r="X28" s="872">
        <v>284150.0701234903</v>
      </c>
      <c r="Y28" s="872">
        <v>289291.78722226777</v>
      </c>
      <c r="Z28" s="872">
        <v>295609.37144945067</v>
      </c>
      <c r="AA28" s="872">
        <v>301926.95567663357</v>
      </c>
      <c r="AB28" s="872">
        <v>305092.2662489441</v>
      </c>
      <c r="AC28" s="873">
        <v>308257.57682125468</v>
      </c>
      <c r="AD28" s="856">
        <f t="shared" si="9"/>
        <v>1.2567289609651533</v>
      </c>
      <c r="AE28" s="871">
        <f t="shared" ref="AE28:AE40" si="25">V28*$AD28</f>
        <v>322554.53757929691</v>
      </c>
      <c r="AF28" s="872">
        <f t="shared" ref="AF28:AF40" si="26">W28*$AD28</f>
        <v>350637.87759734597</v>
      </c>
      <c r="AG28" s="872">
        <f t="shared" ref="AG28:AG40" si="27">X28*$AD28</f>
        <v>357099.62238446943</v>
      </c>
      <c r="AH28" s="872">
        <f t="shared" ref="AH28:AH40" si="28">Y28*$AD28</f>
        <v>363561.36717159278</v>
      </c>
      <c r="AI28" s="872">
        <f t="shared" ref="AI28:AI40" si="29">Z28*$AD28</f>
        <v>371500.85823323019</v>
      </c>
      <c r="AJ28" s="872">
        <f t="shared" ref="AJ28:AJ40" si="30">AA28*$AD28</f>
        <v>379440.3492948676</v>
      </c>
      <c r="AK28" s="872">
        <f t="shared" ref="AK28:AK40" si="31">AB28*$AD28</f>
        <v>383418.28676153941</v>
      </c>
      <c r="AL28" s="873">
        <f t="shared" ref="AL28:AL40" si="32">AC28*$AD28</f>
        <v>387396.22422821133</v>
      </c>
    </row>
    <row r="29" spans="2:38" x14ac:dyDescent="0.25">
      <c r="C29" s="849" t="s">
        <v>1321</v>
      </c>
      <c r="D29" s="855">
        <f>1.5*D25</f>
        <v>402863.47630631231</v>
      </c>
      <c r="E29" s="856" t="s">
        <v>1325</v>
      </c>
      <c r="R29" s="340" t="str">
        <f t="shared" si="24"/>
        <v xml:space="preserve">Van / LCV </v>
      </c>
      <c r="S29" s="273" t="s">
        <v>687</v>
      </c>
      <c r="T29" s="852">
        <f>D62</f>
        <v>554244.58704382763</v>
      </c>
      <c r="U29" s="864">
        <f t="shared" si="0"/>
        <v>496024.31464990409</v>
      </c>
      <c r="V29" s="871">
        <v>273963.5068382945</v>
      </c>
      <c r="W29" s="872">
        <v>302454.01055301359</v>
      </c>
      <c r="X29" s="872">
        <v>307843.23555284203</v>
      </c>
      <c r="Y29" s="872">
        <v>313232.46055267047</v>
      </c>
      <c r="Z29" s="872">
        <v>319756.39835543133</v>
      </c>
      <c r="AA29" s="872">
        <v>326280.33615819225</v>
      </c>
      <c r="AB29" s="872">
        <v>329483.28918391035</v>
      </c>
      <c r="AC29" s="873">
        <v>332686.24220962852</v>
      </c>
      <c r="AD29" s="856">
        <f t="shared" si="9"/>
        <v>1.6399991315802436</v>
      </c>
      <c r="AE29" s="871">
        <f t="shared" si="25"/>
        <v>449299.91329948109</v>
      </c>
      <c r="AF29" s="872">
        <f t="shared" si="26"/>
        <v>496024.31464990409</v>
      </c>
      <c r="AG29" s="872">
        <f t="shared" si="27"/>
        <v>504862.6389695133</v>
      </c>
      <c r="AH29" s="872">
        <f t="shared" si="28"/>
        <v>513700.96328912245</v>
      </c>
      <c r="AI29" s="872">
        <f t="shared" si="29"/>
        <v>524400.21562013379</v>
      </c>
      <c r="AJ29" s="872">
        <f t="shared" si="30"/>
        <v>535099.46795114526</v>
      </c>
      <c r="AK29" s="872">
        <f t="shared" si="31"/>
        <v>540352.30813181528</v>
      </c>
      <c r="AL29" s="873">
        <f t="shared" si="32"/>
        <v>545605.14831248531</v>
      </c>
    </row>
    <row r="30" spans="2:38" x14ac:dyDescent="0.25">
      <c r="D30" s="852"/>
      <c r="R30" s="340" t="str">
        <f t="shared" si="24"/>
        <v xml:space="preserve">Van / LCV </v>
      </c>
      <c r="S30" s="273" t="s">
        <v>688</v>
      </c>
      <c r="T30" s="852">
        <f t="shared" ref="T30:T40" si="33">D63</f>
        <v>496908.94010825921</v>
      </c>
      <c r="U30" s="864">
        <f t="shared" si="0"/>
        <v>444711.45451370708</v>
      </c>
      <c r="V30" s="871">
        <v>312901.78233298892</v>
      </c>
      <c r="W30" s="872">
        <v>304843.98823993577</v>
      </c>
      <c r="X30" s="872">
        <v>302907.47306587646</v>
      </c>
      <c r="Y30" s="872">
        <v>300970.9578918172</v>
      </c>
      <c r="Z30" s="872">
        <v>303738.94959199568</v>
      </c>
      <c r="AA30" s="872">
        <v>306506.94129217422</v>
      </c>
      <c r="AB30" s="872">
        <v>307629.24987310497</v>
      </c>
      <c r="AC30" s="873">
        <v>308751.55845403566</v>
      </c>
      <c r="AD30" s="856">
        <f t="shared" si="9"/>
        <v>1.4588165477079535</v>
      </c>
      <c r="AE30" s="871">
        <f t="shared" si="25"/>
        <v>456466.29787467641</v>
      </c>
      <c r="AF30" s="872">
        <f t="shared" si="26"/>
        <v>444711.45451370708</v>
      </c>
      <c r="AG30" s="872">
        <f t="shared" si="27"/>
        <v>441886.43413290184</v>
      </c>
      <c r="AH30" s="872">
        <f t="shared" si="28"/>
        <v>439061.41375209665</v>
      </c>
      <c r="AI30" s="872">
        <f t="shared" si="29"/>
        <v>443099.40584823524</v>
      </c>
      <c r="AJ30" s="872">
        <f t="shared" si="30"/>
        <v>447137.39794437401</v>
      </c>
      <c r="AK30" s="872">
        <f t="shared" si="31"/>
        <v>448774.64027387038</v>
      </c>
      <c r="AL30" s="873">
        <f t="shared" si="32"/>
        <v>450411.88260336674</v>
      </c>
    </row>
    <row r="31" spans="2:38" x14ac:dyDescent="0.25">
      <c r="B31" s="856" t="s">
        <v>1322</v>
      </c>
      <c r="R31" s="340" t="str">
        <f t="shared" si="24"/>
        <v xml:space="preserve">Van / LCV </v>
      </c>
      <c r="S31" s="273" t="s">
        <v>689</v>
      </c>
      <c r="T31" s="852">
        <f t="shared" si="33"/>
        <v>745363.41016238881</v>
      </c>
      <c r="U31" s="864">
        <f t="shared" si="0"/>
        <v>667067.18177056056</v>
      </c>
      <c r="V31" s="871">
        <v>331028.30930312449</v>
      </c>
      <c r="W31" s="872">
        <v>326716.98101003445</v>
      </c>
      <c r="X31" s="872">
        <v>324521.50162893633</v>
      </c>
      <c r="Y31" s="872">
        <v>322326.02224783826</v>
      </c>
      <c r="Z31" s="872">
        <v>325263.56979321735</v>
      </c>
      <c r="AA31" s="872">
        <v>328201.11733859644</v>
      </c>
      <c r="AB31" s="872">
        <v>329321.81828075892</v>
      </c>
      <c r="AC31" s="873">
        <v>330442.51922292134</v>
      </c>
      <c r="AD31" s="856">
        <f t="shared" si="9"/>
        <v>2.0417279190948232</v>
      </c>
      <c r="AE31" s="871">
        <f t="shared" si="25"/>
        <v>675869.74111494585</v>
      </c>
      <c r="AF31" s="872">
        <f t="shared" si="26"/>
        <v>667067.18177056045</v>
      </c>
      <c r="AG31" s="872">
        <f t="shared" si="27"/>
        <v>662584.61022237549</v>
      </c>
      <c r="AH31" s="872">
        <f t="shared" si="28"/>
        <v>658102.03867419052</v>
      </c>
      <c r="AI31" s="872">
        <f t="shared" si="29"/>
        <v>664099.71151125943</v>
      </c>
      <c r="AJ31" s="872">
        <f t="shared" si="30"/>
        <v>670097.38434832846</v>
      </c>
      <c r="AK31" s="872">
        <f t="shared" si="31"/>
        <v>672385.55075089738</v>
      </c>
      <c r="AL31" s="873">
        <f t="shared" si="32"/>
        <v>674673.71715346631</v>
      </c>
    </row>
    <row r="32" spans="2:38" x14ac:dyDescent="0.25">
      <c r="B32" s="856" t="s">
        <v>1324</v>
      </c>
      <c r="C32" s="856" t="s">
        <v>1301</v>
      </c>
      <c r="D32" s="849">
        <v>515000</v>
      </c>
      <c r="R32" s="340" t="str">
        <f t="shared" si="24"/>
        <v xml:space="preserve">Van / LCV </v>
      </c>
      <c r="S32" s="273" t="s">
        <v>691</v>
      </c>
      <c r="T32" s="852">
        <f t="shared" si="33"/>
        <v>660888.89034398482</v>
      </c>
      <c r="U32" s="864">
        <f t="shared" si="0"/>
        <v>591466.23450323043</v>
      </c>
      <c r="V32" s="871">
        <v>391481.07154940313</v>
      </c>
      <c r="W32" s="872">
        <v>339982.20467586158</v>
      </c>
      <c r="X32" s="872">
        <v>331059.16492119117</v>
      </c>
      <c r="Y32" s="872">
        <v>322136.12516652065</v>
      </c>
      <c r="Z32" s="872">
        <v>323006.64147182775</v>
      </c>
      <c r="AA32" s="872">
        <v>323877.15777713485</v>
      </c>
      <c r="AB32" s="872">
        <v>323593.37485257658</v>
      </c>
      <c r="AC32" s="873">
        <v>323309.59192801826</v>
      </c>
      <c r="AD32" s="856">
        <f t="shared" si="9"/>
        <v>1.7396976264305752</v>
      </c>
      <c r="AE32" s="871">
        <f t="shared" si="25"/>
        <v>681058.69096699485</v>
      </c>
      <c r="AF32" s="872">
        <f t="shared" si="26"/>
        <v>591466.23450323043</v>
      </c>
      <c r="AG32" s="872">
        <f t="shared" si="27"/>
        <v>575942.84342148469</v>
      </c>
      <c r="AH32" s="872">
        <f t="shared" si="28"/>
        <v>560419.45233973872</v>
      </c>
      <c r="AI32" s="872">
        <f t="shared" si="29"/>
        <v>561933.88748985052</v>
      </c>
      <c r="AJ32" s="872">
        <f t="shared" si="30"/>
        <v>563448.32263996243</v>
      </c>
      <c r="AK32" s="872">
        <f t="shared" si="31"/>
        <v>562954.62615968683</v>
      </c>
      <c r="AL32" s="873">
        <f t="shared" si="32"/>
        <v>562460.92967941123</v>
      </c>
    </row>
    <row r="33" spans="2:38" x14ac:dyDescent="0.25">
      <c r="C33" s="856" t="s">
        <v>1321</v>
      </c>
      <c r="D33" s="855">
        <f>D32*$D$23/$D$22</f>
        <v>492130.96953029517</v>
      </c>
      <c r="F33" s="856" t="s">
        <v>1307</v>
      </c>
      <c r="G33" s="849" t="s">
        <v>1327</v>
      </c>
      <c r="R33" s="340" t="str">
        <f t="shared" si="24"/>
        <v xml:space="preserve">Van / LCV </v>
      </c>
      <c r="S33" s="273" t="s">
        <v>695</v>
      </c>
      <c r="T33" s="852">
        <f t="shared" si="33"/>
        <v>991333.33551597712</v>
      </c>
      <c r="U33" s="864">
        <f t="shared" si="0"/>
        <v>887199.35175484559</v>
      </c>
      <c r="V33" s="871">
        <v>407474.79468737578</v>
      </c>
      <c r="W33" s="872">
        <v>360682.48912301363</v>
      </c>
      <c r="X33" s="872">
        <v>351716.16664973373</v>
      </c>
      <c r="Y33" s="872">
        <v>342749.84417645383</v>
      </c>
      <c r="Z33" s="872">
        <v>343826.71405733895</v>
      </c>
      <c r="AA33" s="872">
        <v>344903.58393822401</v>
      </c>
      <c r="AB33" s="872">
        <v>344657.44346707332</v>
      </c>
      <c r="AC33" s="873">
        <v>344411.30299592268</v>
      </c>
      <c r="AD33" s="856">
        <f t="shared" si="9"/>
        <v>2.4597793863296182</v>
      </c>
      <c r="AE33" s="871">
        <f t="shared" si="25"/>
        <v>1002298.1004209004</v>
      </c>
      <c r="AF33" s="872">
        <f t="shared" si="26"/>
        <v>887199.3517548457</v>
      </c>
      <c r="AG33" s="872">
        <f t="shared" si="27"/>
        <v>865144.17656388774</v>
      </c>
      <c r="AH33" s="872">
        <f t="shared" si="28"/>
        <v>843089.0013729299</v>
      </c>
      <c r="AI33" s="872">
        <f t="shared" si="29"/>
        <v>845737.86370769027</v>
      </c>
      <c r="AJ33" s="872">
        <f t="shared" si="30"/>
        <v>848386.72604245064</v>
      </c>
      <c r="AK33" s="872">
        <f t="shared" si="31"/>
        <v>847781.27478537266</v>
      </c>
      <c r="AL33" s="873">
        <f t="shared" si="32"/>
        <v>847175.82352829492</v>
      </c>
    </row>
    <row r="34" spans="2:38" x14ac:dyDescent="0.25">
      <c r="B34" s="856"/>
      <c r="R34" s="340" t="str">
        <f t="shared" si="24"/>
        <v xml:space="preserve">Van / LCV </v>
      </c>
      <c r="S34" s="273" t="s">
        <v>839</v>
      </c>
      <c r="T34" s="852">
        <f t="shared" si="33"/>
        <v>878982.22415749985</v>
      </c>
      <c r="U34" s="864">
        <f t="shared" si="0"/>
        <v>786650.09188929654</v>
      </c>
      <c r="V34" s="871">
        <v>496559.73718594579</v>
      </c>
      <c r="W34" s="872">
        <v>378588.95630492171</v>
      </c>
      <c r="X34" s="872">
        <v>360727.4622038473</v>
      </c>
      <c r="Y34" s="872">
        <v>342865.96810277284</v>
      </c>
      <c r="Z34" s="872">
        <v>342470.67215617938</v>
      </c>
      <c r="AA34" s="872">
        <v>342075.37620958587</v>
      </c>
      <c r="AB34" s="872">
        <v>340639.12087968597</v>
      </c>
      <c r="AC34" s="873">
        <v>339202.8655497859</v>
      </c>
      <c r="AD34" s="856">
        <f t="shared" si="9"/>
        <v>2.0778474352952752</v>
      </c>
      <c r="AE34" s="871">
        <f t="shared" si="25"/>
        <v>1031775.3763827133</v>
      </c>
      <c r="AF34" s="872">
        <f t="shared" si="26"/>
        <v>786650.09188929654</v>
      </c>
      <c r="AG34" s="872">
        <f t="shared" si="27"/>
        <v>749536.63218083745</v>
      </c>
      <c r="AH34" s="872">
        <f t="shared" si="28"/>
        <v>712423.17247237812</v>
      </c>
      <c r="AI34" s="872">
        <f t="shared" si="29"/>
        <v>711601.80780356633</v>
      </c>
      <c r="AJ34" s="872">
        <f t="shared" si="30"/>
        <v>710780.44313475443</v>
      </c>
      <c r="AK34" s="872">
        <f t="shared" si="31"/>
        <v>707796.12368109275</v>
      </c>
      <c r="AL34" s="873">
        <f t="shared" si="32"/>
        <v>704811.80422743072</v>
      </c>
    </row>
    <row r="35" spans="2:38" x14ac:dyDescent="0.25">
      <c r="B35" s="856" t="s">
        <v>689</v>
      </c>
      <c r="D35" s="855">
        <f>D33*1.5</f>
        <v>738196.45429544279</v>
      </c>
      <c r="E35" s="856" t="s">
        <v>1325</v>
      </c>
      <c r="R35" s="340" t="str">
        <f t="shared" si="24"/>
        <v xml:space="preserve">Van / LCV </v>
      </c>
      <c r="S35" s="273" t="s">
        <v>838</v>
      </c>
      <c r="T35" s="852">
        <f t="shared" si="33"/>
        <v>1318473.3362362497</v>
      </c>
      <c r="U35" s="864">
        <f t="shared" ref="U35:U66" si="34">$D$24/$D$23*T35</f>
        <v>1179975.1378339448</v>
      </c>
      <c r="V35" s="871">
        <v>511492.56089864328</v>
      </c>
      <c r="W35" s="872">
        <v>395813.38161575678</v>
      </c>
      <c r="X35" s="872">
        <v>377420.10669636662</v>
      </c>
      <c r="Y35" s="872">
        <v>359026.83177697641</v>
      </c>
      <c r="Z35" s="872">
        <v>358837.88940596086</v>
      </c>
      <c r="AA35" s="872">
        <v>358648.94703494536</v>
      </c>
      <c r="AB35" s="872">
        <v>357250.33415845298</v>
      </c>
      <c r="AC35" s="873">
        <v>355851.72128196061</v>
      </c>
      <c r="AD35" s="856">
        <f t="shared" si="9"/>
        <v>2.9811400842921163</v>
      </c>
      <c r="AE35" s="871">
        <f t="shared" si="25"/>
        <v>1524830.9761121718</v>
      </c>
      <c r="AF35" s="872">
        <f t="shared" si="26"/>
        <v>1179975.1378339448</v>
      </c>
      <c r="AG35" s="872">
        <f t="shared" si="27"/>
        <v>1125142.208690346</v>
      </c>
      <c r="AH35" s="872">
        <f t="shared" si="28"/>
        <v>1070309.279546747</v>
      </c>
      <c r="AI35" s="872">
        <f t="shared" si="29"/>
        <v>1069746.0158708913</v>
      </c>
      <c r="AJ35" s="872">
        <f t="shared" si="30"/>
        <v>1069182.7521950358</v>
      </c>
      <c r="AK35" s="872">
        <f t="shared" si="31"/>
        <v>1065013.2912865172</v>
      </c>
      <c r="AL35" s="873">
        <f t="shared" si="32"/>
        <v>1060843.8303779988</v>
      </c>
    </row>
    <row r="36" spans="2:38" x14ac:dyDescent="0.25">
      <c r="B36" s="856"/>
      <c r="R36" s="340" t="str">
        <f t="shared" si="24"/>
        <v xml:space="preserve">Van / LCV </v>
      </c>
      <c r="S36" s="273" t="s">
        <v>692</v>
      </c>
      <c r="T36" s="852">
        <f t="shared" si="33"/>
        <v>1223064.9085472326</v>
      </c>
      <c r="U36" s="864">
        <f t="shared" si="34"/>
        <v>1094588.8281386418</v>
      </c>
      <c r="V36" s="871">
        <v>687128.15488599741</v>
      </c>
      <c r="W36" s="872">
        <v>469949.59053506178</v>
      </c>
      <c r="X36" s="872">
        <v>432380.94769067498</v>
      </c>
      <c r="Y36" s="872">
        <v>394812.30484628811</v>
      </c>
      <c r="Z36" s="872">
        <v>398727.68873224943</v>
      </c>
      <c r="AA36" s="872">
        <v>402643.07261821086</v>
      </c>
      <c r="AB36" s="872">
        <v>404655.09436187055</v>
      </c>
      <c r="AC36" s="873">
        <v>406667.11610553024</v>
      </c>
      <c r="AD36" s="856">
        <f t="shared" si="9"/>
        <v>2.3291622126798668</v>
      </c>
      <c r="AE36" s="871">
        <f t="shared" si="25"/>
        <v>1600432.9336289039</v>
      </c>
      <c r="AF36" s="872">
        <f t="shared" si="26"/>
        <v>1094588.8281386418</v>
      </c>
      <c r="AG36" s="872">
        <f t="shared" si="27"/>
        <v>1007085.3648438302</v>
      </c>
      <c r="AH36" s="872">
        <f t="shared" si="28"/>
        <v>919581.90154901845</v>
      </c>
      <c r="AI36" s="872">
        <f t="shared" si="29"/>
        <v>928701.46574433532</v>
      </c>
      <c r="AJ36" s="872">
        <f t="shared" si="30"/>
        <v>937821.0299396523</v>
      </c>
      <c r="AK36" s="872">
        <f t="shared" si="31"/>
        <v>942507.35495607473</v>
      </c>
      <c r="AL36" s="873">
        <f t="shared" si="32"/>
        <v>947193.67997249705</v>
      </c>
    </row>
    <row r="37" spans="2:38" x14ac:dyDescent="0.25">
      <c r="B37" s="856" t="s">
        <v>1326</v>
      </c>
      <c r="D37" s="855">
        <f>D33*1.33</f>
        <v>654534.18947529257</v>
      </c>
      <c r="E37" s="856" t="s">
        <v>1328</v>
      </c>
      <c r="R37" s="340" t="str">
        <f t="shared" si="24"/>
        <v xml:space="preserve">Van / LCV </v>
      </c>
      <c r="S37" s="273" t="s">
        <v>699</v>
      </c>
      <c r="T37" s="852">
        <f t="shared" si="33"/>
        <v>1977710.0043543745</v>
      </c>
      <c r="U37" s="864">
        <f t="shared" si="34"/>
        <v>1769962.7067509172</v>
      </c>
      <c r="V37" s="871">
        <v>2029535.5581229187</v>
      </c>
      <c r="W37" s="872">
        <v>811440.95954608021</v>
      </c>
      <c r="X37" s="872">
        <v>622919.2856946364</v>
      </c>
      <c r="Y37" s="872">
        <v>434397.61184319266</v>
      </c>
      <c r="Z37" s="872">
        <v>413664.79392003053</v>
      </c>
      <c r="AA37" s="872">
        <v>392931.97599686834</v>
      </c>
      <c r="AB37" s="872">
        <v>387589.42716879566</v>
      </c>
      <c r="AC37" s="873">
        <v>382246.87834072293</v>
      </c>
      <c r="AD37" s="856">
        <f t="shared" si="9"/>
        <v>2.1812587668005246</v>
      </c>
      <c r="AE37" s="871">
        <f t="shared" si="25"/>
        <v>4426942.2286890121</v>
      </c>
      <c r="AF37" s="872">
        <f t="shared" si="26"/>
        <v>1769962.7067509172</v>
      </c>
      <c r="AG37" s="872">
        <f t="shared" si="27"/>
        <v>1358748.1529305463</v>
      </c>
      <c r="AH37" s="872">
        <f t="shared" si="28"/>
        <v>947533.59911017539</v>
      </c>
      <c r="AI37" s="872">
        <f t="shared" si="29"/>
        <v>902309.9582547989</v>
      </c>
      <c r="AJ37" s="872">
        <f t="shared" si="30"/>
        <v>857086.31739942229</v>
      </c>
      <c r="AK37" s="872">
        <f t="shared" si="31"/>
        <v>845432.83593112894</v>
      </c>
      <c r="AL37" s="873">
        <f t="shared" si="32"/>
        <v>833779.35446283547</v>
      </c>
    </row>
    <row r="38" spans="2:38" x14ac:dyDescent="0.25">
      <c r="B38" s="856" t="s">
        <v>695</v>
      </c>
      <c r="D38" s="855">
        <f>D35*1.33</f>
        <v>981801.28421293898</v>
      </c>
      <c r="E38" s="856" t="s">
        <v>1328</v>
      </c>
      <c r="R38" s="340" t="str">
        <f t="shared" si="24"/>
        <v xml:space="preserve">Van / LCV </v>
      </c>
      <c r="S38" s="273" t="s">
        <v>837</v>
      </c>
      <c r="T38" s="852">
        <f t="shared" si="33"/>
        <v>2175481.004789812</v>
      </c>
      <c r="U38" s="864">
        <f t="shared" si="34"/>
        <v>1946958.977426009</v>
      </c>
      <c r="V38" s="871">
        <v>2114672.9625383778</v>
      </c>
      <c r="W38" s="872">
        <v>850128.3240129943</v>
      </c>
      <c r="X38" s="872">
        <v>655524.58181147499</v>
      </c>
      <c r="Y38" s="872">
        <v>460920.8396099559</v>
      </c>
      <c r="Z38" s="872">
        <v>439117.74429542525</v>
      </c>
      <c r="AA38" s="872">
        <v>417314.64898089459</v>
      </c>
      <c r="AB38" s="872">
        <v>410990.01008050452</v>
      </c>
      <c r="AC38" s="873">
        <v>404665.37118011439</v>
      </c>
      <c r="AD38" s="856">
        <f t="shared" si="9"/>
        <v>2.2901942241325082</v>
      </c>
      <c r="AE38" s="871">
        <f t="shared" si="25"/>
        <v>4843011.8047345728</v>
      </c>
      <c r="AF38" s="872">
        <f t="shared" si="26"/>
        <v>1946958.977426009</v>
      </c>
      <c r="AG38" s="872">
        <f t="shared" si="27"/>
        <v>1501278.6110415179</v>
      </c>
      <c r="AH38" s="872">
        <f t="shared" si="28"/>
        <v>1055598.2446570273</v>
      </c>
      <c r="AI38" s="872">
        <f t="shared" si="29"/>
        <v>1005664.9216994785</v>
      </c>
      <c r="AJ38" s="872">
        <f t="shared" si="30"/>
        <v>955731.59874192986</v>
      </c>
      <c r="AK38" s="872">
        <f t="shared" si="31"/>
        <v>941246.94726253278</v>
      </c>
      <c r="AL38" s="873">
        <f t="shared" si="32"/>
        <v>926762.29578313557</v>
      </c>
    </row>
    <row r="39" spans="2:38" x14ac:dyDescent="0.25">
      <c r="R39" s="340" t="str">
        <f t="shared" si="24"/>
        <v xml:space="preserve">Van / LCV </v>
      </c>
      <c r="S39" s="273" t="s">
        <v>836</v>
      </c>
      <c r="T39" s="852">
        <f t="shared" si="33"/>
        <v>1582168.0034834996</v>
      </c>
      <c r="U39" s="864">
        <f t="shared" si="34"/>
        <v>1415970.1654007337</v>
      </c>
      <c r="V39" s="871">
        <v>1450504.470819857</v>
      </c>
      <c r="W39" s="872">
        <v>654484.66361127386</v>
      </c>
      <c r="X39" s="872">
        <v>534980.27749698469</v>
      </c>
      <c r="Y39" s="872">
        <v>415475.89138269558</v>
      </c>
      <c r="Z39" s="872">
        <v>402645.7854288643</v>
      </c>
      <c r="AA39" s="872">
        <v>389815.67947503307</v>
      </c>
      <c r="AB39" s="872">
        <v>384665.56853580126</v>
      </c>
      <c r="AC39" s="873">
        <v>379515.4575965695</v>
      </c>
      <c r="AD39" s="856">
        <f t="shared" si="9"/>
        <v>2.1634886867902812</v>
      </c>
      <c r="AE39" s="871">
        <f t="shared" si="25"/>
        <v>3138150.0127574839</v>
      </c>
      <c r="AF39" s="872">
        <f t="shared" si="26"/>
        <v>1415970.1654007337</v>
      </c>
      <c r="AG39" s="872">
        <f t="shared" si="27"/>
        <v>1157423.7780206515</v>
      </c>
      <c r="AH39" s="872">
        <f t="shared" si="28"/>
        <v>898877.39064056962</v>
      </c>
      <c r="AI39" s="872">
        <f t="shared" si="29"/>
        <v>871119.6015591349</v>
      </c>
      <c r="AJ39" s="872">
        <f t="shared" si="30"/>
        <v>843361.81247770041</v>
      </c>
      <c r="AK39" s="872">
        <f t="shared" si="31"/>
        <v>832219.60572495754</v>
      </c>
      <c r="AL39" s="873">
        <f t="shared" si="32"/>
        <v>821077.39897221478</v>
      </c>
    </row>
    <row r="40" spans="2:38" x14ac:dyDescent="0.25">
      <c r="B40" s="856" t="s">
        <v>839</v>
      </c>
      <c r="D40" s="855">
        <f>D37*1.33</f>
        <v>870530.4720021392</v>
      </c>
      <c r="E40" s="856" t="s">
        <v>1342</v>
      </c>
      <c r="R40" s="340" t="str">
        <f t="shared" si="24"/>
        <v xml:space="preserve">Van / LCV </v>
      </c>
      <c r="S40" s="273" t="s">
        <v>700</v>
      </c>
      <c r="T40" s="852">
        <f t="shared" si="33"/>
        <v>609669.0457482104</v>
      </c>
      <c r="U40" s="864">
        <f t="shared" si="34"/>
        <v>545626.74611489451</v>
      </c>
      <c r="V40" s="871">
        <v>299496.70074222406</v>
      </c>
      <c r="W40" s="872">
        <v>314789.02729539643</v>
      </c>
      <c r="X40" s="872">
        <v>318102.56056284037</v>
      </c>
      <c r="Y40" s="872">
        <v>321416.09383028437</v>
      </c>
      <c r="Z40" s="872">
        <v>326165.12299253611</v>
      </c>
      <c r="AA40" s="872">
        <v>330914.15215478779</v>
      </c>
      <c r="AB40" s="872">
        <v>332996.62735681463</v>
      </c>
      <c r="AC40" s="873">
        <v>335079.10255884152</v>
      </c>
      <c r="AD40" s="856">
        <f t="shared" si="9"/>
        <v>1.7333092922672972</v>
      </c>
      <c r="AE40" s="871">
        <f t="shared" si="25"/>
        <v>519120.41439989489</v>
      </c>
      <c r="AF40" s="872">
        <f t="shared" si="26"/>
        <v>545626.74611489451</v>
      </c>
      <c r="AG40" s="872">
        <f t="shared" si="27"/>
        <v>551370.12411759188</v>
      </c>
      <c r="AH40" s="872">
        <f t="shared" si="28"/>
        <v>557113.50212028937</v>
      </c>
      <c r="AI40" s="872">
        <f t="shared" si="29"/>
        <v>565345.03849646868</v>
      </c>
      <c r="AJ40" s="872">
        <f t="shared" si="30"/>
        <v>573576.57487264799</v>
      </c>
      <c r="AK40" s="872">
        <f t="shared" si="31"/>
        <v>577186.14849123731</v>
      </c>
      <c r="AL40" s="873">
        <f t="shared" si="32"/>
        <v>580795.72210982675</v>
      </c>
    </row>
    <row r="41" spans="2:38" x14ac:dyDescent="0.25">
      <c r="B41" s="856" t="s">
        <v>838</v>
      </c>
      <c r="D41" s="855">
        <f>D38*1.33</f>
        <v>1305795.708003209</v>
      </c>
      <c r="E41" s="856" t="s">
        <v>1342</v>
      </c>
      <c r="R41" s="340" t="str">
        <f t="shared" si="24"/>
        <v xml:space="preserve">Van / LCV </v>
      </c>
      <c r="S41" s="277"/>
      <c r="U41" s="864">
        <f t="shared" si="34"/>
        <v>0</v>
      </c>
      <c r="V41" s="874"/>
      <c r="W41" s="875"/>
      <c r="X41" s="875"/>
      <c r="Y41" s="875"/>
      <c r="Z41" s="875"/>
      <c r="AA41" s="875"/>
      <c r="AB41" s="875"/>
      <c r="AC41" s="876"/>
      <c r="AD41" s="856" t="e">
        <f t="shared" si="9"/>
        <v>#DIV/0!</v>
      </c>
      <c r="AE41" s="874"/>
      <c r="AF41" s="875"/>
      <c r="AG41" s="875"/>
      <c r="AH41" s="875"/>
      <c r="AI41" s="875"/>
      <c r="AJ41" s="875"/>
      <c r="AK41" s="875"/>
      <c r="AL41" s="876"/>
    </row>
    <row r="42" spans="2:38" x14ac:dyDescent="0.25">
      <c r="R42" s="340" t="str">
        <f t="shared" si="24"/>
        <v xml:space="preserve">Van / LCV </v>
      </c>
      <c r="S42" s="470" t="s">
        <v>832</v>
      </c>
      <c r="U42" s="864">
        <f t="shared" si="34"/>
        <v>0</v>
      </c>
      <c r="V42" s="881"/>
      <c r="W42" s="882"/>
      <c r="X42" s="882"/>
      <c r="Y42" s="882"/>
      <c r="Z42" s="882"/>
      <c r="AA42" s="882"/>
      <c r="AB42" s="882"/>
      <c r="AC42" s="883"/>
      <c r="AD42" s="856" t="e">
        <f t="shared" si="9"/>
        <v>#DIV/0!</v>
      </c>
      <c r="AE42" s="881"/>
      <c r="AF42" s="882"/>
      <c r="AG42" s="882"/>
      <c r="AH42" s="882"/>
      <c r="AI42" s="882"/>
      <c r="AJ42" s="882"/>
      <c r="AK42" s="882"/>
      <c r="AL42" s="883"/>
    </row>
    <row r="43" spans="2:38" x14ac:dyDescent="0.25">
      <c r="B43" s="856" t="s">
        <v>1329</v>
      </c>
      <c r="D43" s="856" t="s">
        <v>1330</v>
      </c>
      <c r="R43" s="340" t="str">
        <f>S43</f>
        <v>Small Rigid Truck</v>
      </c>
      <c r="S43" s="369" t="s">
        <v>725</v>
      </c>
      <c r="U43" s="864">
        <f t="shared" si="34"/>
        <v>0</v>
      </c>
      <c r="V43" s="877">
        <v>2010</v>
      </c>
      <c r="W43" s="865">
        <v>2020</v>
      </c>
      <c r="X43" s="865"/>
      <c r="Y43" s="865">
        <v>2030</v>
      </c>
      <c r="Z43" s="865"/>
      <c r="AA43" s="865">
        <v>2040</v>
      </c>
      <c r="AB43" s="865"/>
      <c r="AC43" s="878">
        <v>2050</v>
      </c>
      <c r="AD43" s="856">
        <f t="shared" si="9"/>
        <v>0</v>
      </c>
      <c r="AE43" s="877">
        <v>2010</v>
      </c>
      <c r="AF43" s="865">
        <v>2020</v>
      </c>
      <c r="AG43" s="865"/>
      <c r="AH43" s="865">
        <v>2030</v>
      </c>
      <c r="AI43" s="865"/>
      <c r="AJ43" s="865">
        <v>2040</v>
      </c>
      <c r="AK43" s="865"/>
      <c r="AL43" s="878">
        <v>2050</v>
      </c>
    </row>
    <row r="44" spans="2:38" x14ac:dyDescent="0.25">
      <c r="D44" s="855">
        <v>1637900</v>
      </c>
      <c r="E44" s="856" t="s">
        <v>1331</v>
      </c>
      <c r="R44" s="340" t="str">
        <f>R43</f>
        <v>Small Rigid Truck</v>
      </c>
      <c r="S44" s="465" t="s">
        <v>1323</v>
      </c>
      <c r="U44" s="864">
        <f t="shared" si="34"/>
        <v>0</v>
      </c>
      <c r="V44" s="879" t="s">
        <v>1347</v>
      </c>
      <c r="W44" s="867" t="s">
        <v>1347</v>
      </c>
      <c r="X44" s="867"/>
      <c r="Y44" s="867" t="s">
        <v>1347</v>
      </c>
      <c r="Z44" s="867"/>
      <c r="AA44" s="867" t="s">
        <v>1347</v>
      </c>
      <c r="AB44" s="867"/>
      <c r="AC44" s="880" t="s">
        <v>1347</v>
      </c>
      <c r="AD44" s="856" t="e">
        <f t="shared" si="9"/>
        <v>#VALUE!</v>
      </c>
      <c r="AE44" s="879" t="s">
        <v>1347</v>
      </c>
      <c r="AF44" s="867" t="s">
        <v>1347</v>
      </c>
      <c r="AG44" s="867"/>
      <c r="AH44" s="867" t="s">
        <v>1347</v>
      </c>
      <c r="AI44" s="867"/>
      <c r="AJ44" s="867" t="s">
        <v>1347</v>
      </c>
      <c r="AK44" s="867"/>
      <c r="AL44" s="880" t="s">
        <v>1347</v>
      </c>
    </row>
    <row r="45" spans="2:38" x14ac:dyDescent="0.25">
      <c r="R45" s="340" t="str">
        <f>R44</f>
        <v>Small Rigid Truck</v>
      </c>
      <c r="S45" s="273" t="s">
        <v>687</v>
      </c>
      <c r="T45" s="852">
        <f>D77</f>
        <v>532705.49567836581</v>
      </c>
      <c r="U45" s="864">
        <f t="shared" si="34"/>
        <v>476747.78352540615</v>
      </c>
      <c r="V45" s="871">
        <v>665630.86833121476</v>
      </c>
      <c r="W45" s="872">
        <v>800945.7513197927</v>
      </c>
      <c r="X45" s="872">
        <v>826287.49318747991</v>
      </c>
      <c r="Y45" s="872">
        <v>851629.23505516711</v>
      </c>
      <c r="Z45" s="872">
        <v>874323.18709736317</v>
      </c>
      <c r="AA45" s="872">
        <v>897017.13913955924</v>
      </c>
      <c r="AB45" s="872">
        <v>911917.84375750553</v>
      </c>
      <c r="AC45" s="873">
        <v>926818.54837545205</v>
      </c>
      <c r="AD45" s="856">
        <f t="shared" si="9"/>
        <v>0.59523105371346885</v>
      </c>
      <c r="AE45" s="871">
        <f t="shared" ref="AE45:AE53" si="35">V45*$AD45</f>
        <v>396204.1631410002</v>
      </c>
      <c r="AF45" s="872">
        <f t="shared" ref="AF45:AF53" si="36">W45*$AD45</f>
        <v>476747.78352540621</v>
      </c>
      <c r="AG45" s="872">
        <f t="shared" ref="AG45:AG53" si="37">X45*$AD45</f>
        <v>491831.97524024436</v>
      </c>
      <c r="AH45" s="872">
        <f t="shared" ref="AH45:AH53" si="38">Y45*$AD45</f>
        <v>506916.16695508256</v>
      </c>
      <c r="AI45" s="872">
        <f t="shared" ref="AI45:AI53" si="39">Z45*$AD45</f>
        <v>520424.31194208184</v>
      </c>
      <c r="AJ45" s="872">
        <f t="shared" ref="AJ45:AJ53" si="40">AA45*$AD45</f>
        <v>533932.45692908112</v>
      </c>
      <c r="AK45" s="872">
        <f t="shared" ref="AK45:AK53" si="41">AB45*$AD45</f>
        <v>542801.8190398945</v>
      </c>
      <c r="AL45" s="873">
        <f t="shared" ref="AL45:AL53" si="42">AC45*$AD45</f>
        <v>551671.18115070788</v>
      </c>
    </row>
    <row r="46" spans="2:38" x14ac:dyDescent="0.25">
      <c r="B46" s="856" t="s">
        <v>699</v>
      </c>
      <c r="D46" s="855">
        <f>D44*1.5</f>
        <v>2456850</v>
      </c>
      <c r="E46" s="856" t="s">
        <v>1332</v>
      </c>
      <c r="R46" s="340" t="str">
        <f>R45</f>
        <v>Small Rigid Truck</v>
      </c>
      <c r="S46" s="479" t="s">
        <v>680</v>
      </c>
      <c r="T46" s="852">
        <f t="shared" ref="T46:T53" si="43">D78</f>
        <v>419711.61032295082</v>
      </c>
      <c r="U46" s="864">
        <f t="shared" si="34"/>
        <v>375623.26945122989</v>
      </c>
      <c r="V46" s="871">
        <v>524441.75232732459</v>
      </c>
      <c r="W46" s="872">
        <v>631054.55790289911</v>
      </c>
      <c r="X46" s="872">
        <v>651020.98095271387</v>
      </c>
      <c r="Y46" s="872">
        <v>670987.40400252875</v>
      </c>
      <c r="Z46" s="872">
        <v>688867.66848918016</v>
      </c>
      <c r="AA46" s="872">
        <v>706747.93297583144</v>
      </c>
      <c r="AB46" s="872">
        <v>718488.00095125346</v>
      </c>
      <c r="AC46" s="873">
        <v>730228.06892667571</v>
      </c>
      <c r="AD46" s="856">
        <f t="shared" si="9"/>
        <v>0.59523105371346885</v>
      </c>
      <c r="AE46" s="871">
        <f t="shared" si="35"/>
        <v>312164.0168491315</v>
      </c>
      <c r="AF46" s="872">
        <f t="shared" si="36"/>
        <v>375623.26945122989</v>
      </c>
      <c r="AG46" s="872">
        <f t="shared" si="37"/>
        <v>387507.90448206</v>
      </c>
      <c r="AH46" s="872">
        <f t="shared" si="38"/>
        <v>399392.53951289022</v>
      </c>
      <c r="AI46" s="872">
        <f t="shared" si="39"/>
        <v>410035.42818395526</v>
      </c>
      <c r="AJ46" s="872">
        <f t="shared" si="40"/>
        <v>420678.31685502018</v>
      </c>
      <c r="AK46" s="872">
        <f t="shared" si="41"/>
        <v>427666.36988669843</v>
      </c>
      <c r="AL46" s="873">
        <f t="shared" si="42"/>
        <v>434654.42291837675</v>
      </c>
    </row>
    <row r="47" spans="2:38" x14ac:dyDescent="0.25">
      <c r="B47" s="856" t="s">
        <v>837</v>
      </c>
      <c r="D47" s="855">
        <f>D46*1.1</f>
        <v>2702535</v>
      </c>
      <c r="E47" s="856" t="s">
        <v>1333</v>
      </c>
      <c r="R47" s="340" t="str">
        <f>R45</f>
        <v>Small Rigid Truck</v>
      </c>
      <c r="S47" s="273" t="s">
        <v>829</v>
      </c>
      <c r="T47" s="852">
        <f t="shared" si="43"/>
        <v>602234.27550437453</v>
      </c>
      <c r="U47" s="864">
        <f t="shared" si="34"/>
        <v>538972.95661295648</v>
      </c>
      <c r="V47" s="871">
        <v>809781.47955487901</v>
      </c>
      <c r="W47" s="872">
        <v>905485.27878454118</v>
      </c>
      <c r="X47" s="872">
        <v>913269.92469678773</v>
      </c>
      <c r="Y47" s="872">
        <v>921054.57060903416</v>
      </c>
      <c r="Z47" s="872">
        <v>935029.30465434329</v>
      </c>
      <c r="AA47" s="872">
        <v>949004.03869965253</v>
      </c>
      <c r="AB47" s="872">
        <v>958231.93363923894</v>
      </c>
      <c r="AC47" s="873">
        <v>967459.82857882523</v>
      </c>
      <c r="AD47" s="856">
        <f t="shared" si="9"/>
        <v>0.59523105371346874</v>
      </c>
      <c r="AE47" s="871">
        <f t="shared" si="35"/>
        <v>482007.08335310238</v>
      </c>
      <c r="AF47" s="872">
        <f t="shared" si="36"/>
        <v>538972.95661295648</v>
      </c>
      <c r="AG47" s="872">
        <f t="shared" si="37"/>
        <v>543606.61960208917</v>
      </c>
      <c r="AH47" s="872">
        <f t="shared" si="38"/>
        <v>548240.28259122185</v>
      </c>
      <c r="AI47" s="872">
        <f t="shared" si="39"/>
        <v>556558.47826237674</v>
      </c>
      <c r="AJ47" s="872">
        <f t="shared" si="40"/>
        <v>564876.67393353162</v>
      </c>
      <c r="AK47" s="872">
        <f t="shared" si="41"/>
        <v>570369.40356197883</v>
      </c>
      <c r="AL47" s="873">
        <f t="shared" si="42"/>
        <v>575862.13319042593</v>
      </c>
    </row>
    <row r="48" spans="2:38" x14ac:dyDescent="0.25">
      <c r="B48" s="856" t="s">
        <v>836</v>
      </c>
      <c r="D48" s="855">
        <f>D46*0.8</f>
        <v>1965480</v>
      </c>
      <c r="E48" s="856" t="s">
        <v>1334</v>
      </c>
      <c r="R48" s="340" t="str">
        <f t="shared" ref="R48:R55" si="44">R47</f>
        <v>Small Rigid Truck</v>
      </c>
      <c r="S48" s="273" t="s">
        <v>828</v>
      </c>
      <c r="T48" s="852">
        <f t="shared" si="43"/>
        <v>577206.97880158271</v>
      </c>
      <c r="U48" s="864">
        <f t="shared" si="34"/>
        <v>516574.63647643442</v>
      </c>
      <c r="V48" s="871">
        <v>822054.4421285463</v>
      </c>
      <c r="W48" s="872">
        <v>867855.65580572386</v>
      </c>
      <c r="X48" s="872">
        <v>883566.63350437384</v>
      </c>
      <c r="Y48" s="872">
        <v>899277.61120302393</v>
      </c>
      <c r="Z48" s="872">
        <v>919122.33011158789</v>
      </c>
      <c r="AA48" s="872">
        <v>938967.04902015161</v>
      </c>
      <c r="AB48" s="872">
        <v>949220.9609977334</v>
      </c>
      <c r="AC48" s="873">
        <v>959474.87297531543</v>
      </c>
      <c r="AD48" s="856">
        <f t="shared" si="9"/>
        <v>0.59523105371346874</v>
      </c>
      <c r="AE48" s="871">
        <f t="shared" si="35"/>
        <v>489312.33179801231</v>
      </c>
      <c r="AF48" s="872">
        <f t="shared" si="36"/>
        <v>516574.63647643448</v>
      </c>
      <c r="AG48" s="872">
        <f t="shared" si="37"/>
        <v>525926.2982868707</v>
      </c>
      <c r="AH48" s="872">
        <f t="shared" si="38"/>
        <v>535277.96009730699</v>
      </c>
      <c r="AI48" s="872">
        <f t="shared" si="39"/>
        <v>547090.1530438991</v>
      </c>
      <c r="AJ48" s="872">
        <f t="shared" si="40"/>
        <v>558902.3459904911</v>
      </c>
      <c r="AK48" s="872">
        <f t="shared" si="41"/>
        <v>565005.7928215923</v>
      </c>
      <c r="AL48" s="873">
        <f t="shared" si="42"/>
        <v>571109.23965269362</v>
      </c>
    </row>
    <row r="49" spans="2:38" x14ac:dyDescent="0.25">
      <c r="R49" s="340" t="str">
        <f t="shared" si="44"/>
        <v>Small Rigid Truck</v>
      </c>
      <c r="S49" s="273" t="s">
        <v>689</v>
      </c>
      <c r="T49" s="852">
        <f t="shared" si="43"/>
        <v>588860.82393509196</v>
      </c>
      <c r="U49" s="864">
        <f t="shared" si="34"/>
        <v>527004.31081248343</v>
      </c>
      <c r="V49" s="871">
        <v>843813.12099593447</v>
      </c>
      <c r="W49" s="872">
        <v>885377.7159720764</v>
      </c>
      <c r="X49" s="872">
        <v>887934.07694784389</v>
      </c>
      <c r="Y49" s="872">
        <v>890490.43792361103</v>
      </c>
      <c r="Z49" s="872">
        <v>897019.22104842484</v>
      </c>
      <c r="AA49" s="872">
        <v>903548.00417323865</v>
      </c>
      <c r="AB49" s="872">
        <v>910472.04174300213</v>
      </c>
      <c r="AC49" s="873">
        <v>917396.07931276597</v>
      </c>
      <c r="AD49" s="856">
        <f t="shared" si="9"/>
        <v>0.59523105371346885</v>
      </c>
      <c r="AE49" s="871">
        <f t="shared" si="35"/>
        <v>502263.77314766083</v>
      </c>
      <c r="AF49" s="872">
        <f t="shared" si="36"/>
        <v>527004.31081248343</v>
      </c>
      <c r="AG49" s="872">
        <f t="shared" si="37"/>
        <v>528525.93624976149</v>
      </c>
      <c r="AH49" s="872">
        <f t="shared" si="38"/>
        <v>530047.56168703933</v>
      </c>
      <c r="AI49" s="872">
        <f t="shared" si="39"/>
        <v>533933.696145889</v>
      </c>
      <c r="AJ49" s="872">
        <f t="shared" si="40"/>
        <v>537819.83060473856</v>
      </c>
      <c r="AK49" s="872">
        <f t="shared" si="41"/>
        <v>541941.2327833405</v>
      </c>
      <c r="AL49" s="873">
        <f t="shared" si="42"/>
        <v>546062.63496194268</v>
      </c>
    </row>
    <row r="50" spans="2:38" x14ac:dyDescent="0.25">
      <c r="B50" s="856" t="s">
        <v>524</v>
      </c>
      <c r="D50" s="855">
        <f>D29*1.1</f>
        <v>443149.82393694361</v>
      </c>
      <c r="E50" s="856" t="s">
        <v>1341</v>
      </c>
      <c r="R50" s="340" t="str">
        <f t="shared" si="44"/>
        <v>Small Rigid Truck</v>
      </c>
      <c r="S50" s="273" t="s">
        <v>692</v>
      </c>
      <c r="T50" s="852">
        <f t="shared" si="43"/>
        <v>973840.98304700491</v>
      </c>
      <c r="U50" s="864">
        <f t="shared" si="34"/>
        <v>871544.47239677189</v>
      </c>
      <c r="V50" s="871">
        <v>2230718.2521627168</v>
      </c>
      <c r="W50" s="872">
        <v>1464212.0349055484</v>
      </c>
      <c r="X50" s="872">
        <v>1329574.4709027691</v>
      </c>
      <c r="Y50" s="872">
        <v>1194936.9068999893</v>
      </c>
      <c r="Z50" s="872">
        <v>1204521.7652840337</v>
      </c>
      <c r="AA50" s="872">
        <v>1214106.6236680776</v>
      </c>
      <c r="AB50" s="872">
        <v>1217089.6391281676</v>
      </c>
      <c r="AC50" s="873">
        <v>1220072.6545882572</v>
      </c>
      <c r="AD50" s="856">
        <f t="shared" si="9"/>
        <v>0.59523105371346874</v>
      </c>
      <c r="AE50" s="871">
        <f t="shared" si="35"/>
        <v>1327792.7757726812</v>
      </c>
      <c r="AF50" s="872">
        <f t="shared" si="36"/>
        <v>871544.47239677189</v>
      </c>
      <c r="AG50" s="872">
        <f t="shared" si="37"/>
        <v>791404.01330598292</v>
      </c>
      <c r="AH50" s="872">
        <f t="shared" si="38"/>
        <v>711263.55421519373</v>
      </c>
      <c r="AI50" s="872">
        <f t="shared" si="39"/>
        <v>716968.75957082282</v>
      </c>
      <c r="AJ50" s="872">
        <f t="shared" si="40"/>
        <v>722673.96492645168</v>
      </c>
      <c r="AK50" s="872">
        <f t="shared" si="41"/>
        <v>724449.54836200469</v>
      </c>
      <c r="AL50" s="873">
        <f t="shared" si="42"/>
        <v>726225.13179755735</v>
      </c>
    </row>
    <row r="51" spans="2:38" x14ac:dyDescent="0.25">
      <c r="D51" s="856"/>
      <c r="R51" s="340" t="str">
        <f t="shared" si="44"/>
        <v>Small Rigid Truck</v>
      </c>
      <c r="S51" s="273" t="s">
        <v>699</v>
      </c>
      <c r="T51" s="852">
        <f t="shared" si="43"/>
        <v>1207861.8331814809</v>
      </c>
      <c r="U51" s="864">
        <f t="shared" si="34"/>
        <v>1080982.7502171779</v>
      </c>
      <c r="V51" s="871">
        <v>4238674.4146435475</v>
      </c>
      <c r="W51" s="872">
        <v>1816072.504069217</v>
      </c>
      <c r="X51" s="872">
        <v>1430827.4184126148</v>
      </c>
      <c r="Y51" s="872">
        <v>1045582.3327560129</v>
      </c>
      <c r="Z51" s="872">
        <v>997862.38106442767</v>
      </c>
      <c r="AA51" s="872">
        <v>950142.42937284242</v>
      </c>
      <c r="AB51" s="872">
        <v>933225.19539688097</v>
      </c>
      <c r="AC51" s="873">
        <v>916307.9614209194</v>
      </c>
      <c r="AD51" s="856">
        <f t="shared" si="9"/>
        <v>0.59523105371346885</v>
      </c>
      <c r="AE51" s="871">
        <f t="shared" si="35"/>
        <v>2522990.6381765995</v>
      </c>
      <c r="AF51" s="872">
        <f t="shared" si="36"/>
        <v>1080982.7502171779</v>
      </c>
      <c r="AG51" s="872">
        <f t="shared" si="37"/>
        <v>851672.91194386315</v>
      </c>
      <c r="AH51" s="872">
        <f t="shared" si="38"/>
        <v>622363.07367054839</v>
      </c>
      <c r="AI51" s="872">
        <f t="shared" si="39"/>
        <v>593958.67654201027</v>
      </c>
      <c r="AJ51" s="872">
        <f t="shared" si="40"/>
        <v>565554.27941347216</v>
      </c>
      <c r="AK51" s="872">
        <f t="shared" si="41"/>
        <v>555484.61640804331</v>
      </c>
      <c r="AL51" s="873">
        <f t="shared" si="42"/>
        <v>545414.95340261445</v>
      </c>
    </row>
    <row r="52" spans="2:38" x14ac:dyDescent="0.25">
      <c r="E52" s="856"/>
      <c r="R52" s="340" t="str">
        <f t="shared" si="44"/>
        <v>Small Rigid Truck</v>
      </c>
      <c r="S52" s="273" t="s">
        <v>827</v>
      </c>
      <c r="T52" s="852">
        <f t="shared" si="43"/>
        <v>686288.23487864051</v>
      </c>
      <c r="U52" s="864">
        <f t="shared" si="34"/>
        <v>614197.52094223199</v>
      </c>
      <c r="V52" s="871">
        <v>1051516.7511577115</v>
      </c>
      <c r="W52" s="872">
        <v>1031864.0418883342</v>
      </c>
      <c r="X52" s="872">
        <v>1035882.9494916156</v>
      </c>
      <c r="Y52" s="872">
        <v>1039901.8570948968</v>
      </c>
      <c r="Z52" s="872">
        <v>1050748.8162426385</v>
      </c>
      <c r="AA52" s="872">
        <v>1061595.7753903801</v>
      </c>
      <c r="AB52" s="872">
        <v>1069132.5628851603</v>
      </c>
      <c r="AC52" s="873">
        <v>1076669.3503799401</v>
      </c>
      <c r="AD52" s="856">
        <f t="shared" si="9"/>
        <v>0.59523105371346874</v>
      </c>
      <c r="AE52" s="871">
        <f t="shared" si="35"/>
        <v>625895.42378896789</v>
      </c>
      <c r="AF52" s="872">
        <f t="shared" si="36"/>
        <v>614197.52094223199</v>
      </c>
      <c r="AG52" s="872">
        <f t="shared" si="37"/>
        <v>616589.69954971026</v>
      </c>
      <c r="AH52" s="872">
        <f t="shared" si="38"/>
        <v>618981.87815718842</v>
      </c>
      <c r="AI52" s="872">
        <f t="shared" si="39"/>
        <v>625438.32508028566</v>
      </c>
      <c r="AJ52" s="872">
        <f t="shared" si="40"/>
        <v>631894.77200338279</v>
      </c>
      <c r="AK52" s="872">
        <f t="shared" si="41"/>
        <v>636380.90196551534</v>
      </c>
      <c r="AL52" s="873">
        <f t="shared" si="42"/>
        <v>640867.03192764765</v>
      </c>
    </row>
    <row r="53" spans="2:38" x14ac:dyDescent="0.25">
      <c r="E53" s="856"/>
      <c r="R53" s="340" t="str">
        <f t="shared" si="44"/>
        <v>Small Rigid Truck</v>
      </c>
      <c r="S53" s="273" t="s">
        <v>700</v>
      </c>
      <c r="T53" s="852">
        <f t="shared" si="43"/>
        <v>658123.00333679223</v>
      </c>
      <c r="U53" s="864">
        <f t="shared" si="34"/>
        <v>588990.88834881992</v>
      </c>
      <c r="V53" s="871">
        <v>1005171.5263628296</v>
      </c>
      <c r="W53" s="872">
        <v>989516.39816888212</v>
      </c>
      <c r="X53" s="872">
        <v>992950.77775874839</v>
      </c>
      <c r="Y53" s="872">
        <v>996385.15734861477</v>
      </c>
      <c r="Z53" s="872">
        <v>1007345.0964593297</v>
      </c>
      <c r="AA53" s="872">
        <v>1018305.0355700447</v>
      </c>
      <c r="AB53" s="872">
        <v>1025944.9247305429</v>
      </c>
      <c r="AC53" s="873">
        <v>1033584.813891041</v>
      </c>
      <c r="AD53" s="856">
        <f t="shared" si="9"/>
        <v>0.59523105371346863</v>
      </c>
      <c r="AE53" s="871">
        <f t="shared" si="35"/>
        <v>598309.30679972272</v>
      </c>
      <c r="AF53" s="872">
        <f t="shared" si="36"/>
        <v>588990.88834881992</v>
      </c>
      <c r="AG53" s="872">
        <f t="shared" si="37"/>
        <v>591035.13773094804</v>
      </c>
      <c r="AH53" s="872">
        <f t="shared" si="38"/>
        <v>593079.38711307617</v>
      </c>
      <c r="AI53" s="872">
        <f t="shared" si="39"/>
        <v>599603.08321858256</v>
      </c>
      <c r="AJ53" s="872">
        <f t="shared" si="40"/>
        <v>606126.77932408883</v>
      </c>
      <c r="AK53" s="872">
        <f t="shared" si="41"/>
        <v>610674.27859934629</v>
      </c>
      <c r="AL53" s="873">
        <f t="shared" si="42"/>
        <v>615221.77787460363</v>
      </c>
    </row>
    <row r="54" spans="2:38" x14ac:dyDescent="0.25">
      <c r="B54" s="856" t="s">
        <v>1335</v>
      </c>
      <c r="R54" s="340" t="str">
        <f t="shared" si="44"/>
        <v>Small Rigid Truck</v>
      </c>
      <c r="S54" s="277"/>
      <c r="U54" s="864">
        <f t="shared" si="34"/>
        <v>0</v>
      </c>
      <c r="V54" s="874"/>
      <c r="W54" s="875"/>
      <c r="X54" s="875"/>
      <c r="Y54" s="875"/>
      <c r="Z54" s="875"/>
      <c r="AA54" s="875"/>
      <c r="AB54" s="875"/>
      <c r="AC54" s="876"/>
      <c r="AD54" s="856" t="e">
        <f t="shared" si="9"/>
        <v>#DIV/0!</v>
      </c>
      <c r="AE54" s="874"/>
      <c r="AF54" s="875"/>
      <c r="AG54" s="875"/>
      <c r="AH54" s="875"/>
      <c r="AI54" s="875"/>
      <c r="AJ54" s="875"/>
      <c r="AK54" s="875"/>
      <c r="AL54" s="876"/>
    </row>
    <row r="55" spans="2:38" x14ac:dyDescent="0.25">
      <c r="B55" s="849" t="s">
        <v>715</v>
      </c>
      <c r="C55" s="849" t="s">
        <v>680</v>
      </c>
      <c r="D55" s="855">
        <f>D25*0.42</f>
        <v>112801.77336576744</v>
      </c>
      <c r="R55" s="340" t="str">
        <f t="shared" si="44"/>
        <v>Small Rigid Truck</v>
      </c>
      <c r="S55" s="470" t="s">
        <v>832</v>
      </c>
      <c r="U55" s="864">
        <f t="shared" si="34"/>
        <v>0</v>
      </c>
      <c r="V55" s="881"/>
      <c r="W55" s="882"/>
      <c r="X55" s="882"/>
      <c r="Y55" s="882"/>
      <c r="Z55" s="882"/>
      <c r="AA55" s="882"/>
      <c r="AB55" s="882"/>
      <c r="AC55" s="883"/>
      <c r="AD55" s="856" t="e">
        <f t="shared" si="9"/>
        <v>#DIV/0!</v>
      </c>
      <c r="AE55" s="881"/>
      <c r="AF55" s="882"/>
      <c r="AG55" s="882"/>
      <c r="AH55" s="882"/>
      <c r="AI55" s="882"/>
      <c r="AJ55" s="882"/>
      <c r="AK55" s="882"/>
      <c r="AL55" s="883"/>
    </row>
    <row r="56" spans="2:38" x14ac:dyDescent="0.25">
      <c r="B56" s="849" t="s">
        <v>715</v>
      </c>
      <c r="C56" s="849" t="s">
        <v>688</v>
      </c>
      <c r="D56" s="855">
        <f>D33*0.42</f>
        <v>206695.00720272397</v>
      </c>
      <c r="R56" s="340" t="str">
        <f>S56</f>
        <v>Large Rigid Truck</v>
      </c>
      <c r="S56" s="369" t="s">
        <v>735</v>
      </c>
      <c r="U56" s="864">
        <f t="shared" si="34"/>
        <v>0</v>
      </c>
      <c r="V56" s="877">
        <v>2010</v>
      </c>
      <c r="W56" s="865">
        <v>2020</v>
      </c>
      <c r="X56" s="865"/>
      <c r="Y56" s="865">
        <v>2030</v>
      </c>
      <c r="Z56" s="865"/>
      <c r="AA56" s="865">
        <v>2040</v>
      </c>
      <c r="AB56" s="865"/>
      <c r="AC56" s="878">
        <v>2050</v>
      </c>
      <c r="AD56" s="856">
        <f t="shared" si="9"/>
        <v>0</v>
      </c>
      <c r="AE56" s="877">
        <v>2010</v>
      </c>
      <c r="AF56" s="865">
        <v>2020</v>
      </c>
      <c r="AG56" s="865"/>
      <c r="AH56" s="865">
        <v>2030</v>
      </c>
      <c r="AI56" s="865"/>
      <c r="AJ56" s="865">
        <v>2040</v>
      </c>
      <c r="AK56" s="865"/>
      <c r="AL56" s="878">
        <v>2050</v>
      </c>
    </row>
    <row r="57" spans="2:38" x14ac:dyDescent="0.25">
      <c r="B57" s="849" t="s">
        <v>715</v>
      </c>
      <c r="C57" s="849" t="s">
        <v>692</v>
      </c>
      <c r="D57" s="855">
        <f>D44*0.42</f>
        <v>687918</v>
      </c>
      <c r="R57" s="340" t="str">
        <f t="shared" ref="R57:R67" si="45">R56</f>
        <v>Large Rigid Truck</v>
      </c>
      <c r="S57" s="465" t="s">
        <v>1323</v>
      </c>
      <c r="U57" s="864">
        <f t="shared" si="34"/>
        <v>0</v>
      </c>
      <c r="V57" s="879" t="s">
        <v>1347</v>
      </c>
      <c r="W57" s="867" t="s">
        <v>1347</v>
      </c>
      <c r="X57" s="867"/>
      <c r="Y57" s="867" t="s">
        <v>1347</v>
      </c>
      <c r="Z57" s="867"/>
      <c r="AA57" s="867" t="s">
        <v>1347</v>
      </c>
      <c r="AB57" s="867"/>
      <c r="AC57" s="880" t="s">
        <v>1347</v>
      </c>
      <c r="AD57" s="856" t="e">
        <f t="shared" si="9"/>
        <v>#VALUE!</v>
      </c>
      <c r="AE57" s="879" t="s">
        <v>1347</v>
      </c>
      <c r="AF57" s="867" t="s">
        <v>1347</v>
      </c>
      <c r="AG57" s="867"/>
      <c r="AH57" s="867" t="s">
        <v>1347</v>
      </c>
      <c r="AI57" s="867"/>
      <c r="AJ57" s="867" t="s">
        <v>1347</v>
      </c>
      <c r="AK57" s="867"/>
      <c r="AL57" s="880" t="s">
        <v>1347</v>
      </c>
    </row>
    <row r="58" spans="2:38" x14ac:dyDescent="0.25">
      <c r="B58" s="849" t="s">
        <v>715</v>
      </c>
      <c r="C58" s="849" t="s">
        <v>699</v>
      </c>
      <c r="D58" s="855">
        <f>D46*0.42</f>
        <v>1031877</v>
      </c>
      <c r="R58" s="340" t="str">
        <f t="shared" si="45"/>
        <v>Large Rigid Truck</v>
      </c>
      <c r="S58" s="273" t="s">
        <v>687</v>
      </c>
      <c r="T58" s="852">
        <f>D88</f>
        <v>924881.32071765326</v>
      </c>
      <c r="U58" s="864">
        <f t="shared" si="34"/>
        <v>827727.74685699318</v>
      </c>
      <c r="V58" s="871">
        <v>1089930.327527541</v>
      </c>
      <c r="W58" s="872">
        <v>1315389.054772544</v>
      </c>
      <c r="X58" s="872">
        <v>1357929.7395903205</v>
      </c>
      <c r="Y58" s="872">
        <v>1400470.4244080975</v>
      </c>
      <c r="Z58" s="872">
        <v>1427774.4170071429</v>
      </c>
      <c r="AA58" s="872">
        <v>1455078.4096061881</v>
      </c>
      <c r="AB58" s="872">
        <v>1478587.2547298784</v>
      </c>
      <c r="AC58" s="873">
        <v>1502096.0998535685</v>
      </c>
      <c r="AD58" s="856">
        <f t="shared" si="9"/>
        <v>0.62926458438573762</v>
      </c>
      <c r="AE58" s="871">
        <f t="shared" ref="AE58:AE65" si="46">V58*$AD58</f>
        <v>685854.55456102896</v>
      </c>
      <c r="AF58" s="872">
        <f t="shared" ref="AF58:AF65" si="47">W58*$AD58</f>
        <v>827727.74685699318</v>
      </c>
      <c r="AG58" s="872">
        <f t="shared" ref="AG58:AG65" si="48">X58*$AD58</f>
        <v>854497.09320833592</v>
      </c>
      <c r="AH58" s="872">
        <f t="shared" ref="AH58:AH65" si="49">Y58*$AD58</f>
        <v>881266.43955967901</v>
      </c>
      <c r="AI58" s="872">
        <f t="shared" ref="AI58:AI65" si="50">Z58*$AD58</f>
        <v>898447.87511458865</v>
      </c>
      <c r="AJ58" s="872">
        <f t="shared" ref="AJ58:AJ65" si="51">AA58*$AD58</f>
        <v>915629.31066949805</v>
      </c>
      <c r="AK58" s="872">
        <f t="shared" ref="AK58:AK65" si="52">AB58*$AD58</f>
        <v>930422.59432564571</v>
      </c>
      <c r="AL58" s="873">
        <f t="shared" ref="AL58:AL65" si="53">AC58*$AD58</f>
        <v>945215.87798179325</v>
      </c>
    </row>
    <row r="59" spans="2:38" x14ac:dyDescent="0.25">
      <c r="R59" s="340" t="str">
        <f t="shared" si="45"/>
        <v>Large Rigid Truck</v>
      </c>
      <c r="S59" s="273" t="s">
        <v>829</v>
      </c>
      <c r="T59" s="852">
        <f t="shared" ref="T59:T65" si="54">D89</f>
        <v>1011323.0654291281</v>
      </c>
      <c r="U59" s="864">
        <f t="shared" si="34"/>
        <v>905089.27312167955</v>
      </c>
      <c r="V59" s="871">
        <v>1251184.4931443066</v>
      </c>
      <c r="W59" s="872">
        <v>1438328.6388271647</v>
      </c>
      <c r="X59" s="872">
        <v>1457758.3583193333</v>
      </c>
      <c r="Y59" s="872">
        <v>1477188.0778115019</v>
      </c>
      <c r="Z59" s="872">
        <v>1493178.5248990091</v>
      </c>
      <c r="AA59" s="872">
        <v>1509168.9719865166</v>
      </c>
      <c r="AB59" s="872">
        <v>1525317.1010085675</v>
      </c>
      <c r="AC59" s="873">
        <v>1541465.2300306184</v>
      </c>
      <c r="AD59" s="856">
        <f t="shared" si="9"/>
        <v>0.62926458438573762</v>
      </c>
      <c r="AE59" s="871">
        <f t="shared" si="46"/>
        <v>787326.09006833192</v>
      </c>
      <c r="AF59" s="872">
        <f t="shared" si="47"/>
        <v>905089.27312167943</v>
      </c>
      <c r="AG59" s="872">
        <f t="shared" si="48"/>
        <v>917315.70748265041</v>
      </c>
      <c r="AH59" s="872">
        <f t="shared" si="49"/>
        <v>929542.14184362139</v>
      </c>
      <c r="AI59" s="872">
        <f t="shared" si="50"/>
        <v>939604.36388428381</v>
      </c>
      <c r="AJ59" s="872">
        <f t="shared" si="51"/>
        <v>949666.58592494624</v>
      </c>
      <c r="AK59" s="872">
        <f t="shared" si="52"/>
        <v>959828.03162261436</v>
      </c>
      <c r="AL59" s="873">
        <f t="shared" si="53"/>
        <v>969989.47732028249</v>
      </c>
    </row>
    <row r="60" spans="2:38" x14ac:dyDescent="0.25">
      <c r="B60" s="856" t="s">
        <v>1336</v>
      </c>
      <c r="R60" s="340" t="str">
        <f t="shared" si="45"/>
        <v>Large Rigid Truck</v>
      </c>
      <c r="S60" s="273" t="s">
        <v>828</v>
      </c>
      <c r="T60" s="852">
        <f t="shared" si="54"/>
        <v>964712.90040202253</v>
      </c>
      <c r="U60" s="864">
        <f t="shared" si="34"/>
        <v>863375.24342478556</v>
      </c>
      <c r="V60" s="871">
        <v>1222376.4895484564</v>
      </c>
      <c r="W60" s="872">
        <v>1372038.5110622062</v>
      </c>
      <c r="X60" s="872">
        <v>1403655.9464542887</v>
      </c>
      <c r="Y60" s="872">
        <v>1435273.3818463711</v>
      </c>
      <c r="Z60" s="872">
        <v>1464654.7994727818</v>
      </c>
      <c r="AA60" s="872">
        <v>1494036.2170991923</v>
      </c>
      <c r="AB60" s="872">
        <v>1512239.1151073836</v>
      </c>
      <c r="AC60" s="873">
        <v>1530442.0131155744</v>
      </c>
      <c r="AD60" s="856">
        <f t="shared" si="9"/>
        <v>0.62926458438573774</v>
      </c>
      <c r="AE60" s="871">
        <f t="shared" si="46"/>
        <v>769198.23365860654</v>
      </c>
      <c r="AF60" s="872">
        <f t="shared" si="47"/>
        <v>863375.24342478567</v>
      </c>
      <c r="AG60" s="872">
        <f t="shared" si="48"/>
        <v>883270.97576612735</v>
      </c>
      <c r="AH60" s="872">
        <f t="shared" si="49"/>
        <v>903166.70810746902</v>
      </c>
      <c r="AI60" s="872">
        <f t="shared" si="50"/>
        <v>921655.39365881612</v>
      </c>
      <c r="AJ60" s="872">
        <f t="shared" si="51"/>
        <v>940144.07921016309</v>
      </c>
      <c r="AK60" s="872">
        <f t="shared" si="52"/>
        <v>951598.51825990353</v>
      </c>
      <c r="AL60" s="873">
        <f t="shared" si="53"/>
        <v>963052.95730964374</v>
      </c>
    </row>
    <row r="61" spans="2:38" x14ac:dyDescent="0.25">
      <c r="C61" s="856" t="s">
        <v>680</v>
      </c>
      <c r="D61" s="855">
        <f>410000*D23/D22</f>
        <v>391793.58739305055</v>
      </c>
      <c r="E61" s="856" t="s">
        <v>1337</v>
      </c>
      <c r="R61" s="340" t="str">
        <f t="shared" si="45"/>
        <v>Large Rigid Truck</v>
      </c>
      <c r="S61" s="273" t="s">
        <v>689</v>
      </c>
      <c r="T61" s="852">
        <f t="shared" si="54"/>
        <v>1029776.6126670996</v>
      </c>
      <c r="U61" s="864">
        <f t="shared" si="34"/>
        <v>921604.37915166514</v>
      </c>
      <c r="V61" s="871">
        <v>1374599.6336241232</v>
      </c>
      <c r="W61" s="872">
        <v>1464573.7294294063</v>
      </c>
      <c r="X61" s="872">
        <v>1471747.0120627852</v>
      </c>
      <c r="Y61" s="872">
        <v>1478920.2946961639</v>
      </c>
      <c r="Z61" s="872">
        <v>1490612.6270692046</v>
      </c>
      <c r="AA61" s="872">
        <v>1502304.9594422451</v>
      </c>
      <c r="AB61" s="872">
        <v>1512718.513444247</v>
      </c>
      <c r="AC61" s="873">
        <v>1523132.0674462486</v>
      </c>
      <c r="AD61" s="856">
        <f t="shared" si="9"/>
        <v>0.62926458438573762</v>
      </c>
      <c r="AE61" s="871">
        <f t="shared" si="46"/>
        <v>864986.86714927107</v>
      </c>
      <c r="AF61" s="872">
        <f t="shared" si="47"/>
        <v>921604.37915166514</v>
      </c>
      <c r="AG61" s="872">
        <f t="shared" si="48"/>
        <v>926118.27186663973</v>
      </c>
      <c r="AH61" s="872">
        <f t="shared" si="49"/>
        <v>930632.1645816142</v>
      </c>
      <c r="AI61" s="872">
        <f t="shared" si="50"/>
        <v>937989.73525283556</v>
      </c>
      <c r="AJ61" s="872">
        <f t="shared" si="51"/>
        <v>945347.3059240568</v>
      </c>
      <c r="AK61" s="872">
        <f t="shared" si="52"/>
        <v>951900.18665510486</v>
      </c>
      <c r="AL61" s="873">
        <f t="shared" si="53"/>
        <v>958453.06738615292</v>
      </c>
    </row>
    <row r="62" spans="2:38" x14ac:dyDescent="0.25">
      <c r="C62" s="856" t="s">
        <v>687</v>
      </c>
      <c r="D62" s="855">
        <f>580000*D23/D22</f>
        <v>554244.58704382763</v>
      </c>
      <c r="E62" s="856" t="s">
        <v>1338</v>
      </c>
      <c r="R62" s="340" t="str">
        <f t="shared" si="45"/>
        <v>Large Rigid Truck</v>
      </c>
      <c r="S62" s="273" t="s">
        <v>692</v>
      </c>
      <c r="T62" s="852">
        <f t="shared" si="54"/>
        <v>4051838.2605949077</v>
      </c>
      <c r="U62" s="864">
        <f t="shared" si="34"/>
        <v>3626215.4710496436</v>
      </c>
      <c r="V62" s="871">
        <v>0</v>
      </c>
      <c r="W62" s="885">
        <f>U62</f>
        <v>3626215.4710496436</v>
      </c>
      <c r="X62" s="885">
        <f>0.7*W62</f>
        <v>2538350.8297347506</v>
      </c>
      <c r="Y62" s="885">
        <f>(X62-Z62)/2+Z62</f>
        <v>2175729.2826297861</v>
      </c>
      <c r="Z62" s="885">
        <f>0.5*W62</f>
        <v>1813107.7355248218</v>
      </c>
      <c r="AA62" s="885">
        <f>2*(Z62-AC62)/3+AC62</f>
        <v>1692233.8864898337</v>
      </c>
      <c r="AB62" s="885">
        <f>(Z62-AC62)/3+AC62</f>
        <v>1571360.0374548456</v>
      </c>
      <c r="AC62" s="886">
        <f>0.4*W62</f>
        <v>1450486.1884198575</v>
      </c>
      <c r="AD62" s="856">
        <v>1</v>
      </c>
      <c r="AE62" s="871">
        <f t="shared" si="46"/>
        <v>0</v>
      </c>
      <c r="AF62" s="872">
        <f t="shared" si="47"/>
        <v>3626215.4710496436</v>
      </c>
      <c r="AG62" s="872">
        <f t="shared" si="48"/>
        <v>2538350.8297347506</v>
      </c>
      <c r="AH62" s="872">
        <f t="shared" si="49"/>
        <v>2175729.2826297861</v>
      </c>
      <c r="AI62" s="872">
        <f t="shared" si="50"/>
        <v>1813107.7355248218</v>
      </c>
      <c r="AJ62" s="872">
        <f t="shared" si="51"/>
        <v>1692233.8864898337</v>
      </c>
      <c r="AK62" s="872">
        <f t="shared" si="52"/>
        <v>1571360.0374548456</v>
      </c>
      <c r="AL62" s="873">
        <f t="shared" si="53"/>
        <v>1450486.1884198575</v>
      </c>
    </row>
    <row r="63" spans="2:38" x14ac:dyDescent="0.25">
      <c r="C63" s="856" t="s">
        <v>688</v>
      </c>
      <c r="D63" s="855">
        <f>520000*D23/D22</f>
        <v>496908.94010825921</v>
      </c>
      <c r="E63" s="856" t="s">
        <v>1339</v>
      </c>
      <c r="R63" s="340" t="str">
        <f t="shared" si="45"/>
        <v>Large Rigid Truck</v>
      </c>
      <c r="S63" s="273" t="s">
        <v>699</v>
      </c>
      <c r="T63" s="852">
        <f t="shared" si="54"/>
        <v>2025919.1302974538</v>
      </c>
      <c r="U63" s="864">
        <f t="shared" si="34"/>
        <v>1813107.7355248218</v>
      </c>
      <c r="V63" s="871">
        <v>6644860.7955950676</v>
      </c>
      <c r="W63" s="872">
        <v>2881312.2182852593</v>
      </c>
      <c r="X63" s="872">
        <v>2283873.3934198092</v>
      </c>
      <c r="Y63" s="872">
        <v>1686434.5685543588</v>
      </c>
      <c r="Z63" s="872">
        <v>1608198.73521888</v>
      </c>
      <c r="AA63" s="872">
        <v>1529962.9018834007</v>
      </c>
      <c r="AB63" s="872">
        <v>1501349.5276454913</v>
      </c>
      <c r="AC63" s="873">
        <v>1472736.1534075821</v>
      </c>
      <c r="AD63" s="856">
        <f t="shared" si="9"/>
        <v>0.62926458438573774</v>
      </c>
      <c r="AE63" s="871">
        <f t="shared" si="46"/>
        <v>4181375.5668412126</v>
      </c>
      <c r="AF63" s="872">
        <f t="shared" si="47"/>
        <v>1813107.7355248218</v>
      </c>
      <c r="AG63" s="872">
        <f t="shared" si="48"/>
        <v>1437160.6416999607</v>
      </c>
      <c r="AH63" s="872">
        <f t="shared" si="49"/>
        <v>1061213.5478750996</v>
      </c>
      <c r="AI63" s="872">
        <f t="shared" si="50"/>
        <v>1011982.5087271776</v>
      </c>
      <c r="AJ63" s="872">
        <f t="shared" si="51"/>
        <v>962751.46957925544</v>
      </c>
      <c r="AK63" s="872">
        <f t="shared" si="52"/>
        <v>944746.08653156378</v>
      </c>
      <c r="AL63" s="873">
        <f t="shared" si="53"/>
        <v>926740.70348387223</v>
      </c>
    </row>
    <row r="64" spans="2:38" x14ac:dyDescent="0.25">
      <c r="C64" s="856" t="s">
        <v>689</v>
      </c>
      <c r="D64" s="855">
        <f>D63*1.5</f>
        <v>745363.41016238881</v>
      </c>
      <c r="E64" s="856" t="s">
        <v>1340</v>
      </c>
      <c r="R64" s="340" t="str">
        <f t="shared" si="45"/>
        <v>Large Rigid Truck</v>
      </c>
      <c r="S64" s="273" t="s">
        <v>827</v>
      </c>
      <c r="T64" s="852">
        <f t="shared" si="54"/>
        <v>1119088.6909686432</v>
      </c>
      <c r="U64" s="864">
        <f t="shared" si="34"/>
        <v>1001534.7266283444</v>
      </c>
      <c r="V64" s="871">
        <v>1562141.1336075412</v>
      </c>
      <c r="W64" s="872">
        <v>1591595.5728002738</v>
      </c>
      <c r="X64" s="872">
        <v>1602100.4306893663</v>
      </c>
      <c r="Y64" s="872">
        <v>1612605.2885784588</v>
      </c>
      <c r="Z64" s="872">
        <v>1624721.9307912919</v>
      </c>
      <c r="AA64" s="872">
        <v>1636838.5730041252</v>
      </c>
      <c r="AB64" s="872">
        <v>1650435.1852328968</v>
      </c>
      <c r="AC64" s="873">
        <v>1664031.7974616685</v>
      </c>
      <c r="AD64" s="856">
        <f t="shared" si="9"/>
        <v>0.62926458438573774</v>
      </c>
      <c r="AE64" s="871">
        <f t="shared" si="46"/>
        <v>983000.09119141463</v>
      </c>
      <c r="AF64" s="872">
        <f t="shared" si="47"/>
        <v>1001534.7266283445</v>
      </c>
      <c r="AG64" s="872">
        <f t="shared" si="48"/>
        <v>1008145.0616619556</v>
      </c>
      <c r="AH64" s="872">
        <f t="shared" si="49"/>
        <v>1014755.3966955666</v>
      </c>
      <c r="AI64" s="872">
        <f t="shared" si="50"/>
        <v>1022379.9705217757</v>
      </c>
      <c r="AJ64" s="872">
        <f t="shared" si="51"/>
        <v>1030004.5443479848</v>
      </c>
      <c r="AK64" s="872">
        <f t="shared" si="52"/>
        <v>1038560.4108911769</v>
      </c>
      <c r="AL64" s="873">
        <f t="shared" si="53"/>
        <v>1047116.277434369</v>
      </c>
    </row>
    <row r="65" spans="2:38" x14ac:dyDescent="0.25">
      <c r="C65" s="856" t="s">
        <v>691</v>
      </c>
      <c r="D65" s="855">
        <f>D63*1.33</f>
        <v>660888.89034398482</v>
      </c>
      <c r="E65" s="856" t="s">
        <v>1328</v>
      </c>
      <c r="R65" s="340" t="str">
        <f t="shared" si="45"/>
        <v>Large Rigid Truck</v>
      </c>
      <c r="S65" s="273" t="s">
        <v>700</v>
      </c>
      <c r="T65" s="852">
        <f t="shared" si="54"/>
        <v>1068109.0458363181</v>
      </c>
      <c r="U65" s="864">
        <f t="shared" si="34"/>
        <v>955910.20610261254</v>
      </c>
      <c r="V65" s="871">
        <v>1486783.2282106197</v>
      </c>
      <c r="W65" s="872">
        <v>1519091.0625229813</v>
      </c>
      <c r="X65" s="872">
        <v>1527837.0652034522</v>
      </c>
      <c r="Y65" s="872">
        <v>1536583.0678839239</v>
      </c>
      <c r="Z65" s="872">
        <v>1548848.7797205006</v>
      </c>
      <c r="AA65" s="872">
        <v>1561114.491557077</v>
      </c>
      <c r="AB65" s="872">
        <v>1574767.0644580827</v>
      </c>
      <c r="AC65" s="873">
        <v>1588419.6373590883</v>
      </c>
      <c r="AD65" s="856">
        <f t="shared" si="9"/>
        <v>0.62926458438573774</v>
      </c>
      <c r="AE65" s="871">
        <f t="shared" si="46"/>
        <v>935580.03017164103</v>
      </c>
      <c r="AF65" s="872">
        <f t="shared" si="47"/>
        <v>955910.20610261254</v>
      </c>
      <c r="AG65" s="872">
        <f t="shared" si="48"/>
        <v>961413.7558443757</v>
      </c>
      <c r="AH65" s="872">
        <f t="shared" si="49"/>
        <v>966917.30558613921</v>
      </c>
      <c r="AI65" s="872">
        <f t="shared" si="50"/>
        <v>974635.68364717788</v>
      </c>
      <c r="AJ65" s="872">
        <f t="shared" si="51"/>
        <v>982354.06170821632</v>
      </c>
      <c r="AK65" s="872">
        <f t="shared" si="52"/>
        <v>990945.14232056367</v>
      </c>
      <c r="AL65" s="873">
        <f t="shared" si="53"/>
        <v>999536.2229329109</v>
      </c>
    </row>
    <row r="66" spans="2:38" x14ac:dyDescent="0.25">
      <c r="C66" s="856" t="s">
        <v>695</v>
      </c>
      <c r="D66" s="855">
        <f t="shared" ref="D66:D68" si="55">D64*1.33</f>
        <v>991333.33551597712</v>
      </c>
      <c r="E66" s="856" t="s">
        <v>1328</v>
      </c>
      <c r="R66" s="340" t="str">
        <f t="shared" si="45"/>
        <v>Large Rigid Truck</v>
      </c>
      <c r="S66" s="340"/>
      <c r="U66" s="864">
        <f t="shared" si="34"/>
        <v>0</v>
      </c>
      <c r="V66" s="879"/>
      <c r="W66" s="867"/>
      <c r="X66" s="867"/>
      <c r="Y66" s="867"/>
      <c r="Z66" s="867"/>
      <c r="AA66" s="867"/>
      <c r="AB66" s="867"/>
      <c r="AC66" s="880"/>
      <c r="AD66" s="856" t="e">
        <f t="shared" si="9"/>
        <v>#DIV/0!</v>
      </c>
      <c r="AE66" s="879"/>
      <c r="AF66" s="867"/>
      <c r="AG66" s="867"/>
      <c r="AH66" s="867"/>
      <c r="AI66" s="867"/>
      <c r="AJ66" s="867"/>
      <c r="AK66" s="867"/>
      <c r="AL66" s="880"/>
    </row>
    <row r="67" spans="2:38" x14ac:dyDescent="0.25">
      <c r="C67" s="856" t="s">
        <v>839</v>
      </c>
      <c r="D67" s="855">
        <f t="shared" si="55"/>
        <v>878982.22415749985</v>
      </c>
      <c r="E67" s="856" t="s">
        <v>1342</v>
      </c>
      <c r="R67" s="340" t="str">
        <f t="shared" si="45"/>
        <v>Large Rigid Truck</v>
      </c>
      <c r="S67" s="456" t="s">
        <v>832</v>
      </c>
      <c r="U67" s="864">
        <f t="shared" ref="U67:U98" si="56">$D$24/$D$23*T67</f>
        <v>0</v>
      </c>
      <c r="V67" s="879"/>
      <c r="W67" s="867"/>
      <c r="X67" s="867"/>
      <c r="Y67" s="867"/>
      <c r="Z67" s="867"/>
      <c r="AA67" s="867"/>
      <c r="AB67" s="867"/>
      <c r="AC67" s="880"/>
      <c r="AD67" s="856" t="e">
        <f t="shared" ref="AD67:AD101" si="57">U67/W67</f>
        <v>#DIV/0!</v>
      </c>
      <c r="AE67" s="879"/>
      <c r="AF67" s="867"/>
      <c r="AG67" s="867"/>
      <c r="AH67" s="867"/>
      <c r="AI67" s="867"/>
      <c r="AJ67" s="867"/>
      <c r="AK67" s="867"/>
      <c r="AL67" s="880"/>
    </row>
    <row r="68" spans="2:38" x14ac:dyDescent="0.25">
      <c r="C68" s="856" t="s">
        <v>838</v>
      </c>
      <c r="D68" s="855">
        <f t="shared" si="55"/>
        <v>1318473.3362362497</v>
      </c>
      <c r="E68" s="856" t="s">
        <v>1342</v>
      </c>
      <c r="R68" s="340" t="str">
        <f>S68</f>
        <v>Articulated Truck</v>
      </c>
      <c r="S68" s="454" t="s">
        <v>747</v>
      </c>
      <c r="U68" s="864">
        <f t="shared" si="56"/>
        <v>0</v>
      </c>
      <c r="V68" s="877">
        <v>2010</v>
      </c>
      <c r="W68" s="865">
        <v>2020</v>
      </c>
      <c r="X68" s="865"/>
      <c r="Y68" s="865">
        <v>2030</v>
      </c>
      <c r="Z68" s="865"/>
      <c r="AA68" s="865">
        <v>2040</v>
      </c>
      <c r="AB68" s="865"/>
      <c r="AC68" s="878">
        <v>2050</v>
      </c>
      <c r="AD68" s="856">
        <f t="shared" si="57"/>
        <v>0</v>
      </c>
      <c r="AE68" s="877">
        <v>2010</v>
      </c>
      <c r="AF68" s="865">
        <v>2020</v>
      </c>
      <c r="AG68" s="865"/>
      <c r="AH68" s="865">
        <v>2030</v>
      </c>
      <c r="AI68" s="865"/>
      <c r="AJ68" s="865">
        <v>2040</v>
      </c>
      <c r="AK68" s="865"/>
      <c r="AL68" s="878">
        <v>2050</v>
      </c>
    </row>
    <row r="69" spans="2:38" x14ac:dyDescent="0.25">
      <c r="C69" s="856" t="s">
        <v>692</v>
      </c>
      <c r="D69" s="855">
        <f>1279900*D23/D22</f>
        <v>1223064.9085472326</v>
      </c>
      <c r="E69" s="856" t="s">
        <v>1343</v>
      </c>
      <c r="R69" s="340" t="str">
        <f t="shared" ref="R69:R79" si="58">R68</f>
        <v>Articulated Truck</v>
      </c>
      <c r="S69" s="465" t="s">
        <v>1323</v>
      </c>
      <c r="U69" s="864">
        <f t="shared" si="56"/>
        <v>0</v>
      </c>
      <c r="V69" s="879" t="s">
        <v>1347</v>
      </c>
      <c r="W69" s="867" t="s">
        <v>1347</v>
      </c>
      <c r="X69" s="867"/>
      <c r="Y69" s="867" t="s">
        <v>1347</v>
      </c>
      <c r="Z69" s="867"/>
      <c r="AA69" s="867" t="s">
        <v>1347</v>
      </c>
      <c r="AB69" s="867"/>
      <c r="AC69" s="880" t="s">
        <v>1347</v>
      </c>
      <c r="AD69" s="856" t="e">
        <f t="shared" si="57"/>
        <v>#VALUE!</v>
      </c>
      <c r="AE69" s="879" t="s">
        <v>1347</v>
      </c>
      <c r="AF69" s="867" t="s">
        <v>1347</v>
      </c>
      <c r="AG69" s="867"/>
      <c r="AH69" s="867" t="s">
        <v>1347</v>
      </c>
      <c r="AI69" s="867"/>
      <c r="AJ69" s="867" t="s">
        <v>1347</v>
      </c>
      <c r="AK69" s="867"/>
      <c r="AL69" s="880" t="s">
        <v>1347</v>
      </c>
    </row>
    <row r="70" spans="2:38" x14ac:dyDescent="0.25">
      <c r="C70" s="856" t="s">
        <v>699</v>
      </c>
      <c r="D70" s="855">
        <f>D68*1.5</f>
        <v>1977710.0043543745</v>
      </c>
      <c r="E70" s="856" t="s">
        <v>1332</v>
      </c>
      <c r="R70" s="340" t="str">
        <f t="shared" si="58"/>
        <v>Articulated Truck</v>
      </c>
      <c r="S70" s="428" t="s">
        <v>687</v>
      </c>
      <c r="T70" s="852">
        <f>D100</f>
        <v>1216181.6984270285</v>
      </c>
      <c r="U70" s="864">
        <f t="shared" si="56"/>
        <v>1088428.6604757041</v>
      </c>
      <c r="V70" s="871">
        <v>1394803.006015125</v>
      </c>
      <c r="W70" s="872">
        <v>1729683.6457722846</v>
      </c>
      <c r="X70" s="872">
        <v>1774391.33913615</v>
      </c>
      <c r="Y70" s="872">
        <v>1819099.0325000153</v>
      </c>
      <c r="Z70" s="872">
        <v>1853992.6191889104</v>
      </c>
      <c r="AA70" s="872">
        <v>1888886.2058778054</v>
      </c>
      <c r="AB70" s="872">
        <v>1910564.3362565318</v>
      </c>
      <c r="AC70" s="873">
        <v>1932242.4666352579</v>
      </c>
      <c r="AD70" s="856">
        <f t="shared" si="57"/>
        <v>0.62926458438573762</v>
      </c>
      <c r="AE70" s="871">
        <v>1394803.006015125</v>
      </c>
      <c r="AF70" s="872">
        <v>1729683.6457722846</v>
      </c>
      <c r="AG70" s="872">
        <v>1774391.33913615</v>
      </c>
      <c r="AH70" s="872">
        <v>1819099.0325000153</v>
      </c>
      <c r="AI70" s="872">
        <v>1853992.6191889104</v>
      </c>
      <c r="AJ70" s="872">
        <v>1888886.2058778054</v>
      </c>
      <c r="AK70" s="872">
        <v>1910564.3362565318</v>
      </c>
      <c r="AL70" s="873">
        <v>1932242.4666352579</v>
      </c>
    </row>
    <row r="71" spans="2:38" x14ac:dyDescent="0.25">
      <c r="C71" s="856" t="s">
        <v>837</v>
      </c>
      <c r="D71" s="855">
        <f>D70*1.1</f>
        <v>2175481.004789812</v>
      </c>
      <c r="E71" s="856" t="s">
        <v>1333</v>
      </c>
      <c r="R71" s="340" t="str">
        <f t="shared" si="58"/>
        <v>Articulated Truck</v>
      </c>
      <c r="S71" s="428" t="s">
        <v>829</v>
      </c>
      <c r="T71" s="852">
        <f t="shared" ref="T71:T101" si="59">D101</f>
        <v>1322791.9668064027</v>
      </c>
      <c r="U71" s="864">
        <f t="shared" si="56"/>
        <v>1183840.1205849929</v>
      </c>
      <c r="V71" s="871">
        <v>1623656.3943534463</v>
      </c>
      <c r="W71" s="872">
        <v>1881307.4022600672</v>
      </c>
      <c r="X71" s="872">
        <v>1896865.6479296605</v>
      </c>
      <c r="Y71" s="872">
        <v>1912423.8935992543</v>
      </c>
      <c r="Z71" s="872">
        <v>1933172.1213173277</v>
      </c>
      <c r="AA71" s="872">
        <v>1953920.3490354014</v>
      </c>
      <c r="AB71" s="872">
        <v>1966451.5529619923</v>
      </c>
      <c r="AC71" s="873">
        <v>1978982.7568885833</v>
      </c>
      <c r="AD71" s="856">
        <f t="shared" si="57"/>
        <v>0.62926458438573762</v>
      </c>
      <c r="AE71" s="871">
        <v>1623656.3943534463</v>
      </c>
      <c r="AF71" s="872">
        <v>1881307.4022600672</v>
      </c>
      <c r="AG71" s="872">
        <v>1896865.6479296605</v>
      </c>
      <c r="AH71" s="872">
        <v>1912423.8935992543</v>
      </c>
      <c r="AI71" s="872">
        <v>1933172.1213173277</v>
      </c>
      <c r="AJ71" s="872">
        <v>1953920.3490354014</v>
      </c>
      <c r="AK71" s="872">
        <v>1966451.5529619923</v>
      </c>
      <c r="AL71" s="873">
        <v>1978982.7568885833</v>
      </c>
    </row>
    <row r="72" spans="2:38" x14ac:dyDescent="0.25">
      <c r="C72" s="856" t="s">
        <v>836</v>
      </c>
      <c r="D72" s="855">
        <f>D70*0.8</f>
        <v>1582168.0034834996</v>
      </c>
      <c r="E72" s="856" t="s">
        <v>1334</v>
      </c>
      <c r="R72" s="340" t="str">
        <f t="shared" si="58"/>
        <v>Articulated Truck</v>
      </c>
      <c r="S72" s="428" t="s">
        <v>828</v>
      </c>
      <c r="T72" s="852">
        <f t="shared" si="59"/>
        <v>1287348.220695562</v>
      </c>
      <c r="U72" s="864">
        <f t="shared" si="56"/>
        <v>1152119.5403858675</v>
      </c>
      <c r="V72" s="871">
        <v>1644345.102691914</v>
      </c>
      <c r="W72" s="872">
        <v>1830898.431238617</v>
      </c>
      <c r="X72" s="872">
        <v>1857526.1820196833</v>
      </c>
      <c r="Y72" s="872">
        <v>1884153.93280075</v>
      </c>
      <c r="Z72" s="872">
        <v>1913327.2564421173</v>
      </c>
      <c r="AA72" s="872">
        <v>1942500.5800834852</v>
      </c>
      <c r="AB72" s="872">
        <v>1956760.1309602302</v>
      </c>
      <c r="AC72" s="873">
        <v>1971019.681836975</v>
      </c>
      <c r="AD72" s="856">
        <f t="shared" si="57"/>
        <v>0.62926458438573762</v>
      </c>
      <c r="AE72" s="871">
        <v>1644345.102691914</v>
      </c>
      <c r="AF72" s="872">
        <v>1830898.431238617</v>
      </c>
      <c r="AG72" s="872">
        <v>1857526.1820196833</v>
      </c>
      <c r="AH72" s="872">
        <v>1884153.93280075</v>
      </c>
      <c r="AI72" s="872">
        <v>1913327.2564421173</v>
      </c>
      <c r="AJ72" s="872">
        <v>1942500.5800834852</v>
      </c>
      <c r="AK72" s="872">
        <v>1956760.1309602302</v>
      </c>
      <c r="AL72" s="873">
        <v>1971019.681836975</v>
      </c>
    </row>
    <row r="73" spans="2:38" x14ac:dyDescent="0.25">
      <c r="C73" s="856" t="s">
        <v>524</v>
      </c>
      <c r="D73" s="855">
        <f>1.1*D62</f>
        <v>609669.0457482104</v>
      </c>
      <c r="E73" s="856" t="s">
        <v>1341</v>
      </c>
      <c r="R73" s="340" t="str">
        <f t="shared" si="58"/>
        <v>Articulated Truck</v>
      </c>
      <c r="S73" s="428" t="s">
        <v>689</v>
      </c>
      <c r="T73" s="852">
        <f t="shared" si="59"/>
        <v>1333519.7126356247</v>
      </c>
      <c r="U73" s="864">
        <f t="shared" si="56"/>
        <v>1193440.9771329297</v>
      </c>
      <c r="V73" s="871">
        <v>1783475.1840649548</v>
      </c>
      <c r="W73" s="872">
        <v>1896564.6673059126</v>
      </c>
      <c r="X73" s="872">
        <v>1902507.9210785097</v>
      </c>
      <c r="Y73" s="872">
        <v>1908451.1748511069</v>
      </c>
      <c r="Z73" s="872">
        <v>1922319.7681714082</v>
      </c>
      <c r="AA73" s="872">
        <v>1936188.3614917099</v>
      </c>
      <c r="AB73" s="872">
        <v>1947352.6226984155</v>
      </c>
      <c r="AC73" s="873">
        <v>1958516.8839051214</v>
      </c>
      <c r="AD73" s="856">
        <f t="shared" si="57"/>
        <v>0.62926458438573751</v>
      </c>
      <c r="AE73" s="871">
        <v>1783475.1840649548</v>
      </c>
      <c r="AF73" s="872">
        <v>1896564.6673059126</v>
      </c>
      <c r="AG73" s="872">
        <v>1902507.9210785097</v>
      </c>
      <c r="AH73" s="872">
        <v>1908451.1748511069</v>
      </c>
      <c r="AI73" s="872">
        <v>1922319.7681714082</v>
      </c>
      <c r="AJ73" s="872">
        <v>1936188.3614917099</v>
      </c>
      <c r="AK73" s="872">
        <v>1947352.6226984155</v>
      </c>
      <c r="AL73" s="873">
        <v>1958516.8839051214</v>
      </c>
    </row>
    <row r="74" spans="2:38" x14ac:dyDescent="0.25">
      <c r="R74" s="340" t="str">
        <f t="shared" si="58"/>
        <v>Articulated Truck</v>
      </c>
      <c r="S74" s="428" t="s">
        <v>692</v>
      </c>
      <c r="T74" s="852">
        <f t="shared" si="59"/>
        <v>5507506.8887548558</v>
      </c>
      <c r="U74" s="864">
        <f t="shared" si="56"/>
        <v>4928974.3080670405</v>
      </c>
      <c r="V74" s="871">
        <v>0</v>
      </c>
      <c r="W74" s="885">
        <f>U74</f>
        <v>4928974.3080670405</v>
      </c>
      <c r="X74" s="885">
        <f>0.7*W74</f>
        <v>3450282.015646928</v>
      </c>
      <c r="Y74" s="885">
        <f>(X74-Z74)/2+Z74</f>
        <v>2957384.5848402241</v>
      </c>
      <c r="Z74" s="885">
        <f>0.5*W74</f>
        <v>2464487.1540335203</v>
      </c>
      <c r="AA74" s="885">
        <f>2*(Z74-AC74)/3+AC74</f>
        <v>2300188.0104312855</v>
      </c>
      <c r="AB74" s="885">
        <f>(Z74-AC74)/3+AC74</f>
        <v>2135888.8668290512</v>
      </c>
      <c r="AC74" s="886">
        <f>0.4*W74</f>
        <v>1971589.7232268164</v>
      </c>
      <c r="AD74" s="856">
        <v>1</v>
      </c>
      <c r="AE74" s="871">
        <v>0</v>
      </c>
      <c r="AF74" s="872">
        <v>0</v>
      </c>
      <c r="AG74" s="872">
        <v>0</v>
      </c>
      <c r="AH74" s="872">
        <v>0</v>
      </c>
      <c r="AI74" s="872">
        <v>0</v>
      </c>
      <c r="AJ74" s="872">
        <v>0</v>
      </c>
      <c r="AK74" s="872">
        <v>0</v>
      </c>
      <c r="AL74" s="873">
        <v>0</v>
      </c>
    </row>
    <row r="75" spans="2:38" x14ac:dyDescent="0.25">
      <c r="G75" s="856" t="s">
        <v>1348</v>
      </c>
      <c r="R75" s="340" t="str">
        <f t="shared" si="58"/>
        <v>Articulated Truck</v>
      </c>
      <c r="S75" s="428" t="s">
        <v>699</v>
      </c>
      <c r="T75" s="852">
        <f t="shared" si="59"/>
        <v>2753753.4443774279</v>
      </c>
      <c r="U75" s="864">
        <f t="shared" si="56"/>
        <v>2464487.1540335203</v>
      </c>
      <c r="V75" s="871">
        <v>9333066.2203088477</v>
      </c>
      <c r="W75" s="872">
        <v>3916456.1540345564</v>
      </c>
      <c r="X75" s="872">
        <v>3067405.1292542205</v>
      </c>
      <c r="Y75" s="872">
        <v>2218354.1044738842</v>
      </c>
      <c r="Z75" s="872">
        <v>2106680.0881784153</v>
      </c>
      <c r="AA75" s="872">
        <v>1995006.0718829464</v>
      </c>
      <c r="AB75" s="872">
        <v>1956907.2936069358</v>
      </c>
      <c r="AC75" s="873">
        <v>1918808.5153309256</v>
      </c>
      <c r="AD75" s="856">
        <f t="shared" si="57"/>
        <v>0.62926458438573785</v>
      </c>
      <c r="AE75" s="871">
        <v>9333066.2203088477</v>
      </c>
      <c r="AF75" s="872">
        <v>3916456.1540345564</v>
      </c>
      <c r="AG75" s="872">
        <v>3067405.1292542205</v>
      </c>
      <c r="AH75" s="872">
        <v>2218354.1044738842</v>
      </c>
      <c r="AI75" s="872">
        <v>2106680.0881784153</v>
      </c>
      <c r="AJ75" s="872">
        <v>1995006.0718829464</v>
      </c>
      <c r="AK75" s="872">
        <v>1956907.2936069358</v>
      </c>
      <c r="AL75" s="873">
        <v>1918808.5153309256</v>
      </c>
    </row>
    <row r="76" spans="2:38" x14ac:dyDescent="0.25">
      <c r="B76" s="856" t="s">
        <v>1344</v>
      </c>
      <c r="G76" s="849" t="s">
        <v>1347</v>
      </c>
      <c r="R76" s="340" t="str">
        <f t="shared" si="58"/>
        <v>Articulated Truck</v>
      </c>
      <c r="S76" s="428" t="s">
        <v>827</v>
      </c>
      <c r="T76" s="852">
        <f t="shared" si="59"/>
        <v>1482419.4946631414</v>
      </c>
      <c r="U76" s="864">
        <f t="shared" si="56"/>
        <v>1326699.6756538388</v>
      </c>
      <c r="V76" s="871">
        <v>2046079.6933285356</v>
      </c>
      <c r="W76" s="872">
        <v>2108333.6144666532</v>
      </c>
      <c r="X76" s="872">
        <v>2105849.3538714363</v>
      </c>
      <c r="Y76" s="872">
        <v>2103365.0932762185</v>
      </c>
      <c r="Z76" s="872">
        <v>2118312.1801417214</v>
      </c>
      <c r="AA76" s="872">
        <v>2133259.2670072243</v>
      </c>
      <c r="AB76" s="872">
        <v>2142083.1737169772</v>
      </c>
      <c r="AC76" s="873">
        <v>2150907.0804267302</v>
      </c>
      <c r="AD76" s="856">
        <f t="shared" si="57"/>
        <v>0.62926458438573774</v>
      </c>
      <c r="AE76" s="871">
        <v>2046079.6933285356</v>
      </c>
      <c r="AF76" s="872">
        <v>2108333.6144666532</v>
      </c>
      <c r="AG76" s="872">
        <v>2105849.3538714363</v>
      </c>
      <c r="AH76" s="872">
        <v>2103365.0932762185</v>
      </c>
      <c r="AI76" s="872">
        <v>2118312.1801417214</v>
      </c>
      <c r="AJ76" s="872">
        <v>2133259.2670072243</v>
      </c>
      <c r="AK76" s="872">
        <v>2142083.1737169772</v>
      </c>
      <c r="AL76" s="873">
        <v>2150907.0804267302</v>
      </c>
    </row>
    <row r="77" spans="2:38" x14ac:dyDescent="0.25">
      <c r="B77" s="849" t="s">
        <v>725</v>
      </c>
      <c r="C77" s="849" t="s">
        <v>687</v>
      </c>
      <c r="D77" s="855">
        <f>557460*D23/D22</f>
        <v>532705.49567836581</v>
      </c>
      <c r="E77" s="856" t="s">
        <v>1345</v>
      </c>
      <c r="G77" s="849">
        <v>800945.7513197927</v>
      </c>
      <c r="R77" s="340" t="str">
        <f t="shared" si="58"/>
        <v>Articulated Truck</v>
      </c>
      <c r="S77" s="428" t="s">
        <v>700</v>
      </c>
      <c r="T77" s="852">
        <f t="shared" si="59"/>
        <v>1410435.1085540957</v>
      </c>
      <c r="U77" s="864">
        <f t="shared" si="56"/>
        <v>1262276.8438934449</v>
      </c>
      <c r="V77" s="871">
        <v>1933800.165050887</v>
      </c>
      <c r="W77" s="872">
        <v>2005955.6428487513</v>
      </c>
      <c r="X77" s="872">
        <v>2000166.9362324402</v>
      </c>
      <c r="Y77" s="872">
        <v>1994378.2296161293</v>
      </c>
      <c r="Z77" s="872">
        <v>2009358.1927547844</v>
      </c>
      <c r="AA77" s="872">
        <v>2024338.1558934394</v>
      </c>
      <c r="AB77" s="872">
        <v>2033149.3307904822</v>
      </c>
      <c r="AC77" s="873">
        <v>2041960.5056875255</v>
      </c>
      <c r="AD77" s="856">
        <f t="shared" si="57"/>
        <v>0.62926458438573774</v>
      </c>
      <c r="AE77" s="871">
        <v>1933800.165050887</v>
      </c>
      <c r="AF77" s="872">
        <v>2005955.6428487513</v>
      </c>
      <c r="AG77" s="872">
        <v>2000166.9362324402</v>
      </c>
      <c r="AH77" s="872">
        <v>1994378.2296161293</v>
      </c>
      <c r="AI77" s="872">
        <v>2009358.1927547844</v>
      </c>
      <c r="AJ77" s="872">
        <v>2024338.1558934394</v>
      </c>
      <c r="AK77" s="872">
        <v>2033149.3307904822</v>
      </c>
      <c r="AL77" s="873">
        <v>2041960.5056875255</v>
      </c>
    </row>
    <row r="78" spans="2:38" x14ac:dyDescent="0.25">
      <c r="B78" s="849" t="s">
        <v>725</v>
      </c>
      <c r="C78" s="849" t="s">
        <v>680</v>
      </c>
      <c r="D78" s="855">
        <f>G78/G$77*D$77</f>
        <v>419711.61032295082</v>
      </c>
      <c r="E78" s="856" t="s">
        <v>1346</v>
      </c>
      <c r="G78" s="849">
        <v>631054.55790289911</v>
      </c>
      <c r="R78" s="340" t="str">
        <f t="shared" si="58"/>
        <v>Articulated Truck</v>
      </c>
      <c r="S78" s="340"/>
      <c r="T78" s="852"/>
      <c r="U78" s="864">
        <f t="shared" si="56"/>
        <v>0</v>
      </c>
      <c r="V78" s="879"/>
      <c r="W78" s="867"/>
      <c r="X78" s="867"/>
      <c r="Y78" s="867"/>
      <c r="Z78" s="867"/>
      <c r="AA78" s="867"/>
      <c r="AB78" s="867"/>
      <c r="AC78" s="880"/>
      <c r="AD78" s="856" t="e">
        <f t="shared" si="57"/>
        <v>#DIV/0!</v>
      </c>
      <c r="AE78" s="879"/>
      <c r="AF78" s="867"/>
      <c r="AG78" s="867"/>
      <c r="AH78" s="867"/>
      <c r="AI78" s="867"/>
      <c r="AJ78" s="867"/>
      <c r="AK78" s="867"/>
      <c r="AL78" s="880"/>
    </row>
    <row r="79" spans="2:38" x14ac:dyDescent="0.25">
      <c r="B79" s="849" t="s">
        <v>725</v>
      </c>
      <c r="C79" s="849" t="s">
        <v>829</v>
      </c>
      <c r="D79" s="855">
        <f t="shared" ref="D79:D85" si="60">G79/G$77*D$77</f>
        <v>602234.27550437453</v>
      </c>
      <c r="E79" s="856" t="s">
        <v>1346</v>
      </c>
      <c r="G79" s="849">
        <v>905485.27878454118</v>
      </c>
      <c r="R79" s="340" t="str">
        <f t="shared" si="58"/>
        <v>Articulated Truck</v>
      </c>
      <c r="S79" s="416" t="s">
        <v>832</v>
      </c>
      <c r="T79" s="852"/>
      <c r="U79" s="864">
        <f t="shared" si="56"/>
        <v>0</v>
      </c>
      <c r="V79" s="879"/>
      <c r="W79" s="867"/>
      <c r="X79" s="867"/>
      <c r="Y79" s="867"/>
      <c r="Z79" s="867"/>
      <c r="AA79" s="867"/>
      <c r="AB79" s="867"/>
      <c r="AC79" s="880"/>
      <c r="AD79" s="856" t="e">
        <f t="shared" si="57"/>
        <v>#DIV/0!</v>
      </c>
      <c r="AE79" s="879"/>
      <c r="AF79" s="867"/>
      <c r="AG79" s="867"/>
      <c r="AH79" s="867"/>
      <c r="AI79" s="867"/>
      <c r="AJ79" s="867"/>
      <c r="AK79" s="867"/>
      <c r="AL79" s="880"/>
    </row>
    <row r="80" spans="2:38" x14ac:dyDescent="0.25">
      <c r="B80" s="849" t="s">
        <v>725</v>
      </c>
      <c r="C80" s="849" t="s">
        <v>828</v>
      </c>
      <c r="D80" s="855">
        <f t="shared" si="60"/>
        <v>577206.97880158271</v>
      </c>
      <c r="E80" s="856" t="s">
        <v>1346</v>
      </c>
      <c r="G80" s="849">
        <v>867855.65580572386</v>
      </c>
      <c r="R80" s="340" t="str">
        <f>S80</f>
        <v>Construction Truck</v>
      </c>
      <c r="S80" s="415" t="s">
        <v>733</v>
      </c>
      <c r="T80" s="852"/>
      <c r="U80" s="864">
        <f t="shared" si="56"/>
        <v>0</v>
      </c>
      <c r="V80" s="877">
        <v>2010</v>
      </c>
      <c r="W80" s="865">
        <v>2020</v>
      </c>
      <c r="X80" s="865"/>
      <c r="Y80" s="865">
        <v>2030</v>
      </c>
      <c r="Z80" s="865"/>
      <c r="AA80" s="865">
        <v>2040</v>
      </c>
      <c r="AB80" s="865"/>
      <c r="AC80" s="878">
        <v>2050</v>
      </c>
      <c r="AD80" s="856">
        <f t="shared" si="57"/>
        <v>0</v>
      </c>
      <c r="AE80" s="877">
        <v>2010</v>
      </c>
      <c r="AF80" s="865">
        <v>2020</v>
      </c>
      <c r="AG80" s="865"/>
      <c r="AH80" s="865">
        <v>2030</v>
      </c>
      <c r="AI80" s="865"/>
      <c r="AJ80" s="865">
        <v>2040</v>
      </c>
      <c r="AK80" s="865"/>
      <c r="AL80" s="878">
        <v>2050</v>
      </c>
    </row>
    <row r="81" spans="2:38" x14ac:dyDescent="0.25">
      <c r="B81" s="849" t="s">
        <v>725</v>
      </c>
      <c r="C81" s="849" t="s">
        <v>689</v>
      </c>
      <c r="D81" s="855">
        <f t="shared" si="60"/>
        <v>588860.82393509196</v>
      </c>
      <c r="E81" s="856" t="s">
        <v>1346</v>
      </c>
      <c r="G81" s="849">
        <v>885377.7159720764</v>
      </c>
      <c r="R81" s="340" t="str">
        <f t="shared" ref="R81:R91" si="61">R80</f>
        <v>Construction Truck</v>
      </c>
      <c r="S81" s="465" t="s">
        <v>1323</v>
      </c>
      <c r="T81" s="852"/>
      <c r="U81" s="864">
        <f t="shared" si="56"/>
        <v>0</v>
      </c>
      <c r="V81" s="879" t="s">
        <v>1347</v>
      </c>
      <c r="W81" s="867" t="s">
        <v>1347</v>
      </c>
      <c r="X81" s="867"/>
      <c r="Y81" s="867" t="s">
        <v>1347</v>
      </c>
      <c r="Z81" s="867"/>
      <c r="AA81" s="867" t="s">
        <v>1347</v>
      </c>
      <c r="AB81" s="867"/>
      <c r="AC81" s="880" t="s">
        <v>1347</v>
      </c>
      <c r="AD81" s="856" t="e">
        <f t="shared" si="57"/>
        <v>#VALUE!</v>
      </c>
      <c r="AE81" s="879" t="s">
        <v>1347</v>
      </c>
      <c r="AF81" s="867" t="s">
        <v>1347</v>
      </c>
      <c r="AG81" s="867"/>
      <c r="AH81" s="867" t="s">
        <v>1347</v>
      </c>
      <c r="AI81" s="867"/>
      <c r="AJ81" s="867" t="s">
        <v>1347</v>
      </c>
      <c r="AK81" s="867"/>
      <c r="AL81" s="880" t="s">
        <v>1347</v>
      </c>
    </row>
    <row r="82" spans="2:38" x14ac:dyDescent="0.25">
      <c r="B82" s="849" t="s">
        <v>725</v>
      </c>
      <c r="C82" s="849" t="s">
        <v>692</v>
      </c>
      <c r="D82" s="855">
        <f t="shared" si="60"/>
        <v>973840.98304700491</v>
      </c>
      <c r="E82" s="856" t="s">
        <v>1346</v>
      </c>
      <c r="G82" s="849">
        <v>1464212.0349055484</v>
      </c>
      <c r="R82" s="340" t="str">
        <f t="shared" si="61"/>
        <v>Construction Truck</v>
      </c>
      <c r="S82" s="390" t="s">
        <v>687</v>
      </c>
      <c r="T82" s="852">
        <f t="shared" si="59"/>
        <v>972850.2909553966</v>
      </c>
      <c r="U82" s="864">
        <f t="shared" si="56"/>
        <v>870657.84692986368</v>
      </c>
      <c r="V82" s="871">
        <v>1137344.8503307651</v>
      </c>
      <c r="W82" s="872">
        <v>1383611.7088645061</v>
      </c>
      <c r="X82" s="872">
        <v>1421742.7272348688</v>
      </c>
      <c r="Y82" s="872">
        <v>1459873.7456052315</v>
      </c>
      <c r="Z82" s="872">
        <v>1490827.5195919413</v>
      </c>
      <c r="AA82" s="872">
        <v>1521781.2935786508</v>
      </c>
      <c r="AB82" s="872">
        <v>1550292.485324691</v>
      </c>
      <c r="AC82" s="873">
        <v>1578803.6770707315</v>
      </c>
      <c r="AD82" s="856">
        <f t="shared" si="57"/>
        <v>0.62926458438573762</v>
      </c>
      <c r="AE82" s="871">
        <v>1137344.8503307651</v>
      </c>
      <c r="AF82" s="872">
        <v>1383611.7088645061</v>
      </c>
      <c r="AG82" s="872">
        <v>1421742.7272348688</v>
      </c>
      <c r="AH82" s="872">
        <v>1459873.7456052315</v>
      </c>
      <c r="AI82" s="872">
        <v>1490827.5195919413</v>
      </c>
      <c r="AJ82" s="872">
        <v>1521781.2935786508</v>
      </c>
      <c r="AK82" s="872">
        <v>1550292.485324691</v>
      </c>
      <c r="AL82" s="873">
        <v>1578803.6770707315</v>
      </c>
    </row>
    <row r="83" spans="2:38" x14ac:dyDescent="0.25">
      <c r="B83" s="849" t="s">
        <v>725</v>
      </c>
      <c r="C83" s="849" t="s">
        <v>699</v>
      </c>
      <c r="D83" s="855">
        <f t="shared" si="60"/>
        <v>1207861.8331814809</v>
      </c>
      <c r="E83" s="856" t="s">
        <v>1346</v>
      </c>
      <c r="G83" s="849">
        <v>1816072.504069217</v>
      </c>
      <c r="R83" s="340" t="str">
        <f t="shared" si="61"/>
        <v>Construction Truck</v>
      </c>
      <c r="S83" s="390" t="s">
        <v>829</v>
      </c>
      <c r="T83" s="852">
        <f t="shared" si="59"/>
        <v>1093100.2877930063</v>
      </c>
      <c r="U83" s="864">
        <f t="shared" si="56"/>
        <v>978276.25884105091</v>
      </c>
      <c r="V83" s="871">
        <v>1346309.0076455197</v>
      </c>
      <c r="W83" s="872">
        <v>1554634.2240061136</v>
      </c>
      <c r="X83" s="872">
        <v>1564774.0762279797</v>
      </c>
      <c r="Y83" s="872">
        <v>1574913.9284498463</v>
      </c>
      <c r="Z83" s="872">
        <v>1591873.0744862277</v>
      </c>
      <c r="AA83" s="872">
        <v>1608832.2205226088</v>
      </c>
      <c r="AB83" s="872">
        <v>1628335.4060461875</v>
      </c>
      <c r="AC83" s="873">
        <v>1647838.5915697664</v>
      </c>
      <c r="AD83" s="856">
        <f t="shared" si="57"/>
        <v>0.62926458438573774</v>
      </c>
      <c r="AE83" s="871">
        <v>1346309.0076455197</v>
      </c>
      <c r="AF83" s="872">
        <v>1554634.2240061136</v>
      </c>
      <c r="AG83" s="872">
        <v>1564774.0762279797</v>
      </c>
      <c r="AH83" s="872">
        <v>1574913.9284498463</v>
      </c>
      <c r="AI83" s="872">
        <v>1591873.0744862277</v>
      </c>
      <c r="AJ83" s="872">
        <v>1608832.2205226088</v>
      </c>
      <c r="AK83" s="872">
        <v>1628335.4060461875</v>
      </c>
      <c r="AL83" s="873">
        <v>1647838.5915697664</v>
      </c>
    </row>
    <row r="84" spans="2:38" x14ac:dyDescent="0.25">
      <c r="B84" s="849" t="s">
        <v>725</v>
      </c>
      <c r="C84" s="849" t="s">
        <v>827</v>
      </c>
      <c r="D84" s="855">
        <f t="shared" si="60"/>
        <v>686288.23487864051</v>
      </c>
      <c r="E84" s="856" t="s">
        <v>1346</v>
      </c>
      <c r="G84" s="849">
        <v>1031864.0418883342</v>
      </c>
      <c r="R84" s="340" t="str">
        <f t="shared" si="61"/>
        <v>Construction Truck</v>
      </c>
      <c r="S84" s="390" t="s">
        <v>828</v>
      </c>
      <c r="T84" s="852">
        <f t="shared" si="59"/>
        <v>1048540.3923058893</v>
      </c>
      <c r="U84" s="864">
        <f t="shared" si="56"/>
        <v>938397.12941597495</v>
      </c>
      <c r="V84" s="871">
        <v>1342249.3600168284</v>
      </c>
      <c r="W84" s="872">
        <v>1491260.0402134496</v>
      </c>
      <c r="X84" s="872">
        <v>1513798.9961644816</v>
      </c>
      <c r="Y84" s="872">
        <v>1536337.9521155139</v>
      </c>
      <c r="Z84" s="872">
        <v>1582717.2948413345</v>
      </c>
      <c r="AA84" s="872">
        <v>1629096.6375671551</v>
      </c>
      <c r="AB84" s="872">
        <v>1680935.4116440627</v>
      </c>
      <c r="AC84" s="873">
        <v>1732774.1857209706</v>
      </c>
      <c r="AD84" s="856">
        <f t="shared" si="57"/>
        <v>0.62926458438573774</v>
      </c>
      <c r="AE84" s="871">
        <v>1342249.3600168284</v>
      </c>
      <c r="AF84" s="872">
        <v>1491260.0402134496</v>
      </c>
      <c r="AG84" s="872">
        <v>1513798.9961644816</v>
      </c>
      <c r="AH84" s="872">
        <v>1536337.9521155139</v>
      </c>
      <c r="AI84" s="872">
        <v>1582717.2948413345</v>
      </c>
      <c r="AJ84" s="872">
        <v>1629096.6375671551</v>
      </c>
      <c r="AK84" s="872">
        <v>1680935.4116440627</v>
      </c>
      <c r="AL84" s="873">
        <v>1732774.1857209706</v>
      </c>
    </row>
    <row r="85" spans="2:38" x14ac:dyDescent="0.25">
      <c r="B85" s="849" t="s">
        <v>725</v>
      </c>
      <c r="C85" s="849" t="s">
        <v>700</v>
      </c>
      <c r="D85" s="855">
        <f t="shared" si="60"/>
        <v>658123.00333679223</v>
      </c>
      <c r="E85" s="856" t="s">
        <v>1346</v>
      </c>
      <c r="G85" s="849">
        <v>989516.39816888212</v>
      </c>
      <c r="R85" s="340" t="str">
        <f t="shared" si="61"/>
        <v>Construction Truck</v>
      </c>
      <c r="S85" s="390" t="s">
        <v>689</v>
      </c>
      <c r="T85" s="852">
        <f t="shared" si="59"/>
        <v>1056447.3374457387</v>
      </c>
      <c r="U85" s="864">
        <f t="shared" si="56"/>
        <v>945473.49450036336</v>
      </c>
      <c r="V85" s="871">
        <v>1413868.2874237234</v>
      </c>
      <c r="W85" s="872">
        <v>1502505.4928576599</v>
      </c>
      <c r="X85" s="872">
        <v>1511523.7795690347</v>
      </c>
      <c r="Y85" s="872">
        <v>1520542.066280409</v>
      </c>
      <c r="Z85" s="872">
        <v>1555267.1003705533</v>
      </c>
      <c r="AA85" s="872">
        <v>1589992.1344606976</v>
      </c>
      <c r="AB85" s="872">
        <v>1635802.1933410501</v>
      </c>
      <c r="AC85" s="873">
        <v>1681612.2522214027</v>
      </c>
      <c r="AD85" s="856">
        <f t="shared" si="57"/>
        <v>0.62926458438573774</v>
      </c>
      <c r="AE85" s="871">
        <v>1413868.2874237234</v>
      </c>
      <c r="AF85" s="872">
        <v>1502505.4928576599</v>
      </c>
      <c r="AG85" s="872">
        <v>1511523.7795690347</v>
      </c>
      <c r="AH85" s="872">
        <v>1520542.066280409</v>
      </c>
      <c r="AI85" s="872">
        <v>1555267.1003705533</v>
      </c>
      <c r="AJ85" s="872">
        <v>1589992.1344606976</v>
      </c>
      <c r="AK85" s="872">
        <v>1635802.1933410501</v>
      </c>
      <c r="AL85" s="873">
        <v>1681612.2522214027</v>
      </c>
    </row>
    <row r="86" spans="2:38" x14ac:dyDescent="0.25">
      <c r="R86" s="340" t="str">
        <f t="shared" si="61"/>
        <v>Construction Truck</v>
      </c>
      <c r="S86" s="390" t="s">
        <v>692</v>
      </c>
      <c r="T86" s="852">
        <f t="shared" si="59"/>
        <v>3980920.7403969811</v>
      </c>
      <c r="U86" s="864">
        <f t="shared" si="56"/>
        <v>3562747.4369449359</v>
      </c>
      <c r="V86" s="871">
        <v>0</v>
      </c>
      <c r="W86" s="885">
        <f>U86</f>
        <v>3562747.4369449359</v>
      </c>
      <c r="X86" s="885">
        <f>0.7*W86</f>
        <v>2493923.2058614548</v>
      </c>
      <c r="Y86" s="885">
        <f>(X86-Z86)/2+Z86</f>
        <v>2137648.4621669613</v>
      </c>
      <c r="Z86" s="885">
        <f>0.5*W86</f>
        <v>1781373.718472468</v>
      </c>
      <c r="AA86" s="885">
        <f>2*(Z86-AC86)/3+AC86</f>
        <v>1662615.4705743035</v>
      </c>
      <c r="AB86" s="885">
        <f>(Z86-AC86)/3+AC86</f>
        <v>1543857.2226761389</v>
      </c>
      <c r="AC86" s="886">
        <f>0.4*W86</f>
        <v>1425098.9747779744</v>
      </c>
      <c r="AD86" s="856">
        <v>1</v>
      </c>
      <c r="AE86" s="871">
        <v>0</v>
      </c>
      <c r="AF86" s="872">
        <v>0</v>
      </c>
      <c r="AG86" s="872">
        <v>0</v>
      </c>
      <c r="AH86" s="872">
        <v>0</v>
      </c>
      <c r="AI86" s="872">
        <v>0</v>
      </c>
      <c r="AJ86" s="872">
        <v>0</v>
      </c>
      <c r="AK86" s="872">
        <v>0</v>
      </c>
      <c r="AL86" s="873">
        <v>0</v>
      </c>
    </row>
    <row r="87" spans="2:38" x14ac:dyDescent="0.25">
      <c r="B87" s="856" t="s">
        <v>1349</v>
      </c>
      <c r="R87" s="340" t="str">
        <f t="shared" si="61"/>
        <v>Construction Truck</v>
      </c>
      <c r="S87" s="390" t="s">
        <v>699</v>
      </c>
      <c r="T87" s="852">
        <f t="shared" si="59"/>
        <v>1990460.3701984906</v>
      </c>
      <c r="U87" s="864">
        <f t="shared" si="56"/>
        <v>1781373.718472468</v>
      </c>
      <c r="V87" s="871">
        <v>6360106.1214327365</v>
      </c>
      <c r="W87" s="872">
        <v>2830881.8939991225</v>
      </c>
      <c r="X87" s="872">
        <v>2272344.3366048341</v>
      </c>
      <c r="Y87" s="872">
        <v>1713806.7792105449</v>
      </c>
      <c r="Z87" s="872">
        <v>1666904.5825543196</v>
      </c>
      <c r="AA87" s="872">
        <v>1620002.3858980946</v>
      </c>
      <c r="AB87" s="872">
        <v>1632911.0815388313</v>
      </c>
      <c r="AC87" s="873">
        <v>1645819.7771795681</v>
      </c>
      <c r="AD87" s="856">
        <f t="shared" si="57"/>
        <v>0.62926458438573774</v>
      </c>
      <c r="AE87" s="871">
        <v>6360106.1214327365</v>
      </c>
      <c r="AF87" s="872">
        <v>2830881.8939991225</v>
      </c>
      <c r="AG87" s="872">
        <v>2272344.3366048341</v>
      </c>
      <c r="AH87" s="872">
        <v>1713806.7792105449</v>
      </c>
      <c r="AI87" s="872">
        <v>1666904.5825543196</v>
      </c>
      <c r="AJ87" s="872">
        <v>1620002.3858980946</v>
      </c>
      <c r="AK87" s="872">
        <v>1632911.0815388313</v>
      </c>
      <c r="AL87" s="873">
        <v>1645819.7771795681</v>
      </c>
    </row>
    <row r="88" spans="2:38" x14ac:dyDescent="0.25">
      <c r="B88" s="856" t="s">
        <v>735</v>
      </c>
      <c r="C88" s="849" t="s">
        <v>687</v>
      </c>
      <c r="D88" s="855">
        <f>967860*D23/D22</f>
        <v>924881.32071765326</v>
      </c>
      <c r="E88" s="856" t="s">
        <v>1350</v>
      </c>
      <c r="G88" s="849">
        <v>1315389.054772544</v>
      </c>
      <c r="R88" s="340" t="str">
        <f t="shared" si="61"/>
        <v>Construction Truck</v>
      </c>
      <c r="S88" s="390" t="s">
        <v>827</v>
      </c>
      <c r="T88" s="852">
        <f t="shared" si="59"/>
        <v>1218061.1152400437</v>
      </c>
      <c r="U88" s="864">
        <f t="shared" si="56"/>
        <v>1090110.6551372844</v>
      </c>
      <c r="V88" s="871">
        <v>1695854.156363609</v>
      </c>
      <c r="W88" s="872">
        <v>1732356.5987769766</v>
      </c>
      <c r="X88" s="872">
        <v>1736897.2929585287</v>
      </c>
      <c r="Y88" s="872">
        <v>1741437.9871400804</v>
      </c>
      <c r="Z88" s="872">
        <v>1754044.2259131225</v>
      </c>
      <c r="AA88" s="872">
        <v>1766650.4646861646</v>
      </c>
      <c r="AB88" s="872">
        <v>1783125.9660776728</v>
      </c>
      <c r="AC88" s="873">
        <v>1799601.4674691809</v>
      </c>
      <c r="AD88" s="856">
        <f t="shared" si="57"/>
        <v>0.62926458438573774</v>
      </c>
      <c r="AE88" s="871">
        <v>1695854.156363609</v>
      </c>
      <c r="AF88" s="872">
        <v>1732356.5987769766</v>
      </c>
      <c r="AG88" s="872">
        <v>1736897.2929585287</v>
      </c>
      <c r="AH88" s="872">
        <v>1741437.9871400804</v>
      </c>
      <c r="AI88" s="872">
        <v>1754044.2259131225</v>
      </c>
      <c r="AJ88" s="872">
        <v>1766650.4646861646</v>
      </c>
      <c r="AK88" s="872">
        <v>1783125.9660776728</v>
      </c>
      <c r="AL88" s="873">
        <v>1799601.4674691809</v>
      </c>
    </row>
    <row r="89" spans="2:38" x14ac:dyDescent="0.25">
      <c r="B89" s="856" t="s">
        <v>735</v>
      </c>
      <c r="C89" s="849" t="s">
        <v>829</v>
      </c>
      <c r="D89" s="855">
        <f>G89/G$88*D$88</f>
        <v>1011323.0654291281</v>
      </c>
      <c r="E89" s="856" t="s">
        <v>1346</v>
      </c>
      <c r="G89" s="849">
        <v>1438328.6388271647</v>
      </c>
      <c r="R89" s="340" t="str">
        <f t="shared" si="61"/>
        <v>Construction Truck</v>
      </c>
      <c r="S89" s="390" t="s">
        <v>700</v>
      </c>
      <c r="T89" s="852">
        <f t="shared" si="59"/>
        <v>1170603.1430859093</v>
      </c>
      <c r="U89" s="864">
        <f t="shared" si="56"/>
        <v>1047637.8756772528</v>
      </c>
      <c r="V89" s="871">
        <v>1624779.2570494437</v>
      </c>
      <c r="W89" s="872">
        <v>1664860.6987788989</v>
      </c>
      <c r="X89" s="872">
        <v>1668630.0219125191</v>
      </c>
      <c r="Y89" s="872">
        <v>1672399.3450461391</v>
      </c>
      <c r="Z89" s="872">
        <v>1685256.2227432285</v>
      </c>
      <c r="AA89" s="872">
        <v>1698113.1004403182</v>
      </c>
      <c r="AB89" s="872">
        <v>1714703.5720855389</v>
      </c>
      <c r="AC89" s="873">
        <v>1731294.0437307595</v>
      </c>
      <c r="AD89" s="856">
        <f t="shared" si="57"/>
        <v>0.62926458438573774</v>
      </c>
      <c r="AE89" s="871">
        <v>1624779.2570494437</v>
      </c>
      <c r="AF89" s="872">
        <v>1664860.6987788989</v>
      </c>
      <c r="AG89" s="872">
        <v>1668630.0219125191</v>
      </c>
      <c r="AH89" s="872">
        <v>1672399.3450461391</v>
      </c>
      <c r="AI89" s="872">
        <v>1685256.2227432285</v>
      </c>
      <c r="AJ89" s="872">
        <v>1698113.1004403182</v>
      </c>
      <c r="AK89" s="872">
        <v>1714703.5720855389</v>
      </c>
      <c r="AL89" s="873">
        <v>1731294.0437307595</v>
      </c>
    </row>
    <row r="90" spans="2:38" x14ac:dyDescent="0.25">
      <c r="B90" s="856" t="s">
        <v>735</v>
      </c>
      <c r="C90" s="849" t="s">
        <v>828</v>
      </c>
      <c r="D90" s="855">
        <f>G90/G$88*D$88</f>
        <v>964712.90040202253</v>
      </c>
      <c r="E90" s="856" t="s">
        <v>1346</v>
      </c>
      <c r="G90" s="849">
        <v>1372038.5110622062</v>
      </c>
      <c r="R90" s="340" t="str">
        <f t="shared" si="61"/>
        <v>Construction Truck</v>
      </c>
      <c r="S90" s="340"/>
      <c r="T90" s="852"/>
      <c r="U90" s="864">
        <f t="shared" si="56"/>
        <v>0</v>
      </c>
      <c r="V90" s="879"/>
      <c r="W90" s="867"/>
      <c r="X90" s="867"/>
      <c r="Y90" s="867"/>
      <c r="Z90" s="867"/>
      <c r="AA90" s="867"/>
      <c r="AB90" s="867"/>
      <c r="AC90" s="880"/>
      <c r="AD90" s="856" t="e">
        <f t="shared" si="57"/>
        <v>#DIV/0!</v>
      </c>
      <c r="AE90" s="879"/>
      <c r="AF90" s="867"/>
      <c r="AG90" s="867"/>
      <c r="AH90" s="867"/>
      <c r="AI90" s="867"/>
      <c r="AJ90" s="867"/>
      <c r="AK90" s="867"/>
      <c r="AL90" s="880"/>
    </row>
    <row r="91" spans="2:38" x14ac:dyDescent="0.25">
      <c r="B91" s="856" t="s">
        <v>735</v>
      </c>
      <c r="C91" s="849" t="s">
        <v>689</v>
      </c>
      <c r="D91" s="855">
        <f>G91/G$88*D$88</f>
        <v>1029776.6126670996</v>
      </c>
      <c r="E91" s="856" t="s">
        <v>1346</v>
      </c>
      <c r="G91" s="849">
        <v>1464573.7294294063</v>
      </c>
      <c r="R91" s="340" t="str">
        <f t="shared" si="61"/>
        <v>Construction Truck</v>
      </c>
      <c r="S91" s="378" t="s">
        <v>832</v>
      </c>
      <c r="T91" s="852"/>
      <c r="U91" s="864">
        <f t="shared" si="56"/>
        <v>0</v>
      </c>
      <c r="V91" s="879"/>
      <c r="W91" s="867"/>
      <c r="X91" s="867"/>
      <c r="Y91" s="867"/>
      <c r="Z91" s="867"/>
      <c r="AA91" s="867"/>
      <c r="AB91" s="867"/>
      <c r="AC91" s="880"/>
      <c r="AD91" s="856" t="e">
        <f t="shared" si="57"/>
        <v>#DIV/0!</v>
      </c>
      <c r="AE91" s="879"/>
      <c r="AF91" s="867"/>
      <c r="AG91" s="867"/>
      <c r="AH91" s="867"/>
      <c r="AI91" s="867"/>
      <c r="AJ91" s="867"/>
      <c r="AK91" s="867"/>
      <c r="AL91" s="880"/>
    </row>
    <row r="92" spans="2:38" x14ac:dyDescent="0.25">
      <c r="B92" s="860" t="s">
        <v>735</v>
      </c>
      <c r="C92" s="860" t="s">
        <v>692</v>
      </c>
      <c r="D92" s="861">
        <f>D93*2</f>
        <v>4051838.2605949077</v>
      </c>
      <c r="E92" s="860" t="s">
        <v>1351</v>
      </c>
      <c r="F92" s="860"/>
      <c r="G92" s="860"/>
      <c r="R92" s="340" t="str">
        <f>S92</f>
        <v>Bus</v>
      </c>
      <c r="S92" s="373" t="s">
        <v>60</v>
      </c>
      <c r="T92" s="852"/>
      <c r="U92" s="864">
        <f t="shared" si="56"/>
        <v>0</v>
      </c>
      <c r="V92" s="877">
        <v>2010</v>
      </c>
      <c r="W92" s="865">
        <v>2020</v>
      </c>
      <c r="X92" s="865"/>
      <c r="Y92" s="865">
        <v>2030</v>
      </c>
      <c r="Z92" s="865"/>
      <c r="AA92" s="865">
        <v>2040</v>
      </c>
      <c r="AB92" s="865"/>
      <c r="AC92" s="878">
        <v>2050</v>
      </c>
      <c r="AD92" s="856">
        <f t="shared" si="57"/>
        <v>0</v>
      </c>
      <c r="AE92" s="877">
        <v>2010</v>
      </c>
      <c r="AF92" s="865">
        <v>2020</v>
      </c>
      <c r="AG92" s="865"/>
      <c r="AH92" s="865">
        <v>2030</v>
      </c>
      <c r="AI92" s="865"/>
      <c r="AJ92" s="865">
        <v>2040</v>
      </c>
      <c r="AK92" s="865"/>
      <c r="AL92" s="878">
        <v>2050</v>
      </c>
    </row>
    <row r="93" spans="2:38" x14ac:dyDescent="0.25">
      <c r="B93" s="856" t="s">
        <v>735</v>
      </c>
      <c r="C93" s="849" t="s">
        <v>699</v>
      </c>
      <c r="D93" s="855">
        <f>G93/G$88*D$88</f>
        <v>2025919.1302974538</v>
      </c>
      <c r="E93" s="856" t="s">
        <v>1346</v>
      </c>
      <c r="G93" s="849">
        <v>2881312.2182852593</v>
      </c>
      <c r="R93" s="340" t="str">
        <f t="shared" ref="R93:R101" si="62">R92</f>
        <v>Bus</v>
      </c>
      <c r="S93" s="465" t="s">
        <v>1323</v>
      </c>
      <c r="T93" s="852"/>
      <c r="U93" s="864">
        <f t="shared" si="56"/>
        <v>0</v>
      </c>
      <c r="V93" s="879" t="s">
        <v>1347</v>
      </c>
      <c r="W93" s="867" t="s">
        <v>1347</v>
      </c>
      <c r="X93" s="867"/>
      <c r="Y93" s="867" t="s">
        <v>1347</v>
      </c>
      <c r="Z93" s="867"/>
      <c r="AA93" s="867" t="s">
        <v>1347</v>
      </c>
      <c r="AB93" s="867"/>
      <c r="AC93" s="880" t="s">
        <v>1347</v>
      </c>
      <c r="AD93" s="856" t="e">
        <f t="shared" si="57"/>
        <v>#VALUE!</v>
      </c>
      <c r="AE93" s="879" t="s">
        <v>1347</v>
      </c>
      <c r="AF93" s="867" t="s">
        <v>1347</v>
      </c>
      <c r="AG93" s="867"/>
      <c r="AH93" s="867" t="s">
        <v>1347</v>
      </c>
      <c r="AI93" s="867"/>
      <c r="AJ93" s="867" t="s">
        <v>1347</v>
      </c>
      <c r="AK93" s="867"/>
      <c r="AL93" s="880" t="s">
        <v>1347</v>
      </c>
    </row>
    <row r="94" spans="2:38" x14ac:dyDescent="0.25">
      <c r="B94" s="856" t="s">
        <v>735</v>
      </c>
      <c r="C94" s="849" t="s">
        <v>827</v>
      </c>
      <c r="D94" s="855">
        <f>G94/G$88*D$88</f>
        <v>1119088.6909686432</v>
      </c>
      <c r="E94" s="856" t="s">
        <v>1346</v>
      </c>
      <c r="G94" s="849">
        <v>1591595.5728002738</v>
      </c>
      <c r="R94" s="340" t="str">
        <f t="shared" si="62"/>
        <v>Bus</v>
      </c>
      <c r="S94" s="355" t="s">
        <v>687</v>
      </c>
      <c r="T94" s="852">
        <f t="shared" si="59"/>
        <v>1805007.2099613762</v>
      </c>
      <c r="U94" s="864">
        <f t="shared" si="56"/>
        <v>1615401.3682562639</v>
      </c>
      <c r="V94" s="871">
        <v>2374350.3925985522</v>
      </c>
      <c r="W94" s="872">
        <v>2567125.8296431107</v>
      </c>
      <c r="X94" s="872">
        <v>2615057.9469287945</v>
      </c>
      <c r="Y94" s="872">
        <v>2662990.0642144778</v>
      </c>
      <c r="Z94" s="872">
        <v>2693807.5488051251</v>
      </c>
      <c r="AA94" s="872">
        <v>2724625.0333957719</v>
      </c>
      <c r="AB94" s="872">
        <v>2759805.6112657399</v>
      </c>
      <c r="AC94" s="873">
        <v>2794986.1891357079</v>
      </c>
      <c r="AD94" s="856">
        <f t="shared" si="57"/>
        <v>0.62926458438573762</v>
      </c>
      <c r="AE94" s="871">
        <v>2374350.3925985522</v>
      </c>
      <c r="AF94" s="872">
        <v>2567125.8296431107</v>
      </c>
      <c r="AG94" s="872">
        <v>2615057.9469287945</v>
      </c>
      <c r="AH94" s="872">
        <v>2662990.0642144778</v>
      </c>
      <c r="AI94" s="872">
        <v>2693807.5488051251</v>
      </c>
      <c r="AJ94" s="872">
        <v>2724625.0333957719</v>
      </c>
      <c r="AK94" s="872">
        <v>2759805.6112657399</v>
      </c>
      <c r="AL94" s="873">
        <v>2794986.1891357079</v>
      </c>
    </row>
    <row r="95" spans="2:38" x14ac:dyDescent="0.25">
      <c r="B95" s="856" t="s">
        <v>735</v>
      </c>
      <c r="C95" s="849" t="s">
        <v>700</v>
      </c>
      <c r="D95" s="855">
        <f>G95/G$88*D$88</f>
        <v>1068109.0458363181</v>
      </c>
      <c r="E95" s="856" t="s">
        <v>1346</v>
      </c>
      <c r="G95" s="849">
        <v>1519091.0625229813</v>
      </c>
      <c r="R95" s="340" t="str">
        <f t="shared" si="62"/>
        <v>Bus</v>
      </c>
      <c r="S95" s="355" t="s">
        <v>829</v>
      </c>
      <c r="T95" s="852">
        <f t="shared" si="59"/>
        <v>1913019.0738785933</v>
      </c>
      <c r="U95" s="864">
        <f t="shared" si="56"/>
        <v>1712067.1941858544</v>
      </c>
      <c r="V95" s="871">
        <v>2560421.0522702299</v>
      </c>
      <c r="W95" s="872">
        <v>2720742.9699179786</v>
      </c>
      <c r="X95" s="872">
        <v>2745447.8014628761</v>
      </c>
      <c r="Y95" s="872">
        <v>2770152.6330077737</v>
      </c>
      <c r="Z95" s="872">
        <v>2789432.1408442678</v>
      </c>
      <c r="AA95" s="872">
        <v>2808711.648680761</v>
      </c>
      <c r="AB95" s="872">
        <v>2836383.7094969568</v>
      </c>
      <c r="AC95" s="873">
        <v>2864055.7703131516</v>
      </c>
      <c r="AD95" s="856">
        <f t="shared" si="57"/>
        <v>0.62926458438573762</v>
      </c>
      <c r="AE95" s="871">
        <v>2560421.0522702299</v>
      </c>
      <c r="AF95" s="872">
        <v>2720742.9699179786</v>
      </c>
      <c r="AG95" s="872">
        <v>2745447.8014628761</v>
      </c>
      <c r="AH95" s="872">
        <v>2770152.6330077737</v>
      </c>
      <c r="AI95" s="872">
        <v>2789432.1408442678</v>
      </c>
      <c r="AJ95" s="872">
        <v>2808711.648680761</v>
      </c>
      <c r="AK95" s="872">
        <v>2836383.7094969568</v>
      </c>
      <c r="AL95" s="873">
        <v>2864055.7703131516</v>
      </c>
    </row>
    <row r="96" spans="2:38" x14ac:dyDescent="0.25">
      <c r="R96" s="340" t="str">
        <f t="shared" si="62"/>
        <v>Bus</v>
      </c>
      <c r="S96" s="355" t="s">
        <v>828</v>
      </c>
      <c r="T96" s="852">
        <f t="shared" si="59"/>
        <v>1878000.9348363422</v>
      </c>
      <c r="U96" s="864">
        <f t="shared" si="56"/>
        <v>1680727.5134297586</v>
      </c>
      <c r="V96" s="871">
        <v>2575439.5481723119</v>
      </c>
      <c r="W96" s="872">
        <v>2670939.3077800749</v>
      </c>
      <c r="X96" s="872">
        <v>2701135.5750137344</v>
      </c>
      <c r="Y96" s="872">
        <v>2731331.8422473934</v>
      </c>
      <c r="Z96" s="872">
        <v>2753508.3296443988</v>
      </c>
      <c r="AA96" s="872">
        <v>2775684.8170414036</v>
      </c>
      <c r="AB96" s="872">
        <v>2805241.7779716766</v>
      </c>
      <c r="AC96" s="873">
        <v>2834798.7389019486</v>
      </c>
      <c r="AD96" s="856">
        <f t="shared" si="57"/>
        <v>0.62926458438573762</v>
      </c>
      <c r="AE96" s="871">
        <v>2575439.5481723119</v>
      </c>
      <c r="AF96" s="872">
        <v>2670939.3077800749</v>
      </c>
      <c r="AG96" s="872">
        <v>2701135.5750137344</v>
      </c>
      <c r="AH96" s="872">
        <v>2731331.8422473934</v>
      </c>
      <c r="AI96" s="872">
        <v>2753508.3296443988</v>
      </c>
      <c r="AJ96" s="872">
        <v>2775684.8170414036</v>
      </c>
      <c r="AK96" s="872">
        <v>2805241.7779716766</v>
      </c>
      <c r="AL96" s="873">
        <v>2834798.7389019486</v>
      </c>
    </row>
    <row r="97" spans="2:38" x14ac:dyDescent="0.25">
      <c r="B97" s="856" t="s">
        <v>1352</v>
      </c>
      <c r="R97" s="340" t="str">
        <f t="shared" si="62"/>
        <v>Bus</v>
      </c>
      <c r="S97" s="355" t="s">
        <v>689</v>
      </c>
      <c r="T97" s="852">
        <f t="shared" si="59"/>
        <v>1905576.5152511611</v>
      </c>
      <c r="U97" s="864">
        <f t="shared" si="56"/>
        <v>1705406.4344261531</v>
      </c>
      <c r="V97" s="871">
        <v>2641461.6254828833</v>
      </c>
      <c r="W97" s="872">
        <v>2710157.9792400058</v>
      </c>
      <c r="X97" s="872">
        <v>2720247.4357094248</v>
      </c>
      <c r="Y97" s="872">
        <v>2730336.8921788437</v>
      </c>
      <c r="Z97" s="872">
        <v>2741428.0124211079</v>
      </c>
      <c r="AA97" s="872">
        <v>2752519.1326633729</v>
      </c>
      <c r="AB97" s="872">
        <v>2775952.6087589604</v>
      </c>
      <c r="AC97" s="873">
        <v>2799386.0848545479</v>
      </c>
      <c r="AD97" s="856">
        <f t="shared" si="57"/>
        <v>0.62926458438573774</v>
      </c>
      <c r="AE97" s="871">
        <v>2641461.6254828833</v>
      </c>
      <c r="AF97" s="872">
        <v>2710157.9792400058</v>
      </c>
      <c r="AG97" s="872">
        <v>2720247.4357094248</v>
      </c>
      <c r="AH97" s="872">
        <v>2730336.8921788437</v>
      </c>
      <c r="AI97" s="872">
        <v>2741428.0124211079</v>
      </c>
      <c r="AJ97" s="872">
        <v>2752519.1326633729</v>
      </c>
      <c r="AK97" s="872">
        <v>2775952.6087589604</v>
      </c>
      <c r="AL97" s="873">
        <v>2799386.0848545479</v>
      </c>
    </row>
    <row r="98" spans="2:38" x14ac:dyDescent="0.25">
      <c r="G98" s="849">
        <v>2020</v>
      </c>
      <c r="R98" s="340" t="str">
        <f t="shared" si="62"/>
        <v>Bus</v>
      </c>
      <c r="S98" s="355" t="s">
        <v>692</v>
      </c>
      <c r="T98" s="852">
        <f t="shared" si="59"/>
        <v>5188434.2759472886</v>
      </c>
      <c r="U98" s="864">
        <f t="shared" si="56"/>
        <v>4643418.4762355024</v>
      </c>
      <c r="V98" s="871">
        <v>4768239.6435325667</v>
      </c>
      <c r="W98" s="872">
        <v>3635729.2317425008</v>
      </c>
      <c r="X98" s="872">
        <v>3447769.0113726826</v>
      </c>
      <c r="Y98" s="872">
        <v>3259808.7910028636</v>
      </c>
      <c r="Z98" s="872">
        <v>3281975.7365715932</v>
      </c>
      <c r="AA98" s="872">
        <v>3304142.6821403229</v>
      </c>
      <c r="AB98" s="872">
        <v>3325180.0884120665</v>
      </c>
      <c r="AC98" s="873">
        <v>3346217.49468381</v>
      </c>
      <c r="AD98" s="856">
        <f t="shared" si="57"/>
        <v>1.2771628964267081</v>
      </c>
      <c r="AE98" s="871">
        <v>4768239.6435325667</v>
      </c>
      <c r="AF98" s="872">
        <v>3635729.2317425008</v>
      </c>
      <c r="AG98" s="872">
        <v>3447769.0113726826</v>
      </c>
      <c r="AH98" s="872">
        <v>3259808.7910028636</v>
      </c>
      <c r="AI98" s="872">
        <v>3281975.7365715932</v>
      </c>
      <c r="AJ98" s="872">
        <v>3304142.6821403229</v>
      </c>
      <c r="AK98" s="872">
        <v>3325180.0884120665</v>
      </c>
      <c r="AL98" s="873">
        <v>3346217.49468381</v>
      </c>
    </row>
    <row r="99" spans="2:38" x14ac:dyDescent="0.25">
      <c r="G99" s="849" t="s">
        <v>1347</v>
      </c>
      <c r="R99" s="340" t="str">
        <f t="shared" si="62"/>
        <v>Bus</v>
      </c>
      <c r="S99" s="355" t="s">
        <v>699</v>
      </c>
      <c r="T99" s="852">
        <f t="shared" si="59"/>
        <v>2594217.1379736443</v>
      </c>
      <c r="U99" s="864">
        <f t="shared" ref="U99:U101" si="63">$D$24/$D$23*T99</f>
        <v>2321709.2381177512</v>
      </c>
      <c r="V99" s="871">
        <v>6296317.3270356311</v>
      </c>
      <c r="W99" s="872">
        <v>3689559.6792311268</v>
      </c>
      <c r="X99" s="872">
        <v>3288765.9792292048</v>
      </c>
      <c r="Y99" s="872">
        <v>2887972.2792272815</v>
      </c>
      <c r="Z99" s="872">
        <v>2842515.1832835502</v>
      </c>
      <c r="AA99" s="872">
        <v>2797058.087339818</v>
      </c>
      <c r="AB99" s="872">
        <v>2791553.3982090442</v>
      </c>
      <c r="AC99" s="873">
        <v>2786048.7090782705</v>
      </c>
      <c r="AD99" s="856">
        <f t="shared" si="57"/>
        <v>0.62926458438573785</v>
      </c>
      <c r="AE99" s="871">
        <v>6296317.3270356311</v>
      </c>
      <c r="AF99" s="872">
        <v>3689559.6792311268</v>
      </c>
      <c r="AG99" s="872">
        <v>3288765.9792292048</v>
      </c>
      <c r="AH99" s="872">
        <v>2887972.2792272815</v>
      </c>
      <c r="AI99" s="872">
        <v>2842515.1832835502</v>
      </c>
      <c r="AJ99" s="872">
        <v>2797058.087339818</v>
      </c>
      <c r="AK99" s="872">
        <v>2791553.3982090442</v>
      </c>
      <c r="AL99" s="873">
        <v>2786048.7090782705</v>
      </c>
    </row>
    <row r="100" spans="2:38" x14ac:dyDescent="0.25">
      <c r="B100" s="849" t="s">
        <v>747</v>
      </c>
      <c r="C100" s="849" t="s">
        <v>687</v>
      </c>
      <c r="D100" s="855">
        <f>G100/G88*D88</f>
        <v>1216181.6984270285</v>
      </c>
      <c r="G100" s="849">
        <v>1729683.6457722846</v>
      </c>
      <c r="R100" s="340" t="str">
        <f t="shared" si="62"/>
        <v>Bus</v>
      </c>
      <c r="S100" s="355" t="s">
        <v>827</v>
      </c>
      <c r="T100" s="852">
        <f t="shared" si="59"/>
        <v>1947135.3492566734</v>
      </c>
      <c r="U100" s="864">
        <f t="shared" si="63"/>
        <v>1742599.7469764536</v>
      </c>
      <c r="V100" s="871">
        <v>2695816.9798145522</v>
      </c>
      <c r="W100" s="872">
        <v>2769263.9792806837</v>
      </c>
      <c r="X100" s="872">
        <v>2798446.5773164597</v>
      </c>
      <c r="Y100" s="872">
        <v>2827629.1753522358</v>
      </c>
      <c r="Z100" s="872">
        <v>2850356.1751044323</v>
      </c>
      <c r="AA100" s="872">
        <v>2873083.1748566288</v>
      </c>
      <c r="AB100" s="872">
        <v>2902681.9370413837</v>
      </c>
      <c r="AC100" s="873">
        <v>2932280.6992261386</v>
      </c>
      <c r="AD100" s="856">
        <f t="shared" si="57"/>
        <v>0.62926458438573774</v>
      </c>
      <c r="AE100" s="871">
        <v>2695816.9798145522</v>
      </c>
      <c r="AF100" s="872">
        <v>2769263.9792806837</v>
      </c>
      <c r="AG100" s="872">
        <v>2798446.5773164597</v>
      </c>
      <c r="AH100" s="872">
        <v>2827629.1753522358</v>
      </c>
      <c r="AI100" s="872">
        <v>2850356.1751044323</v>
      </c>
      <c r="AJ100" s="872">
        <v>2873083.1748566288</v>
      </c>
      <c r="AK100" s="872">
        <v>2902681.9370413837</v>
      </c>
      <c r="AL100" s="873">
        <v>2932280.6992261386</v>
      </c>
    </row>
    <row r="101" spans="2:38" x14ac:dyDescent="0.25">
      <c r="B101" s="849" t="s">
        <v>747</v>
      </c>
      <c r="C101" s="849" t="s">
        <v>829</v>
      </c>
      <c r="D101" s="855">
        <f t="shared" ref="D101:D107" si="64">G101/G89*D89</f>
        <v>1322791.9668064027</v>
      </c>
      <c r="G101" s="849">
        <v>1881307.4022600672</v>
      </c>
      <c r="R101" s="340" t="str">
        <f t="shared" si="62"/>
        <v>Bus</v>
      </c>
      <c r="S101" s="355" t="s">
        <v>700</v>
      </c>
      <c r="T101" s="852">
        <f t="shared" si="59"/>
        <v>1913834.4064708734</v>
      </c>
      <c r="U101" s="864">
        <f t="shared" si="63"/>
        <v>1712796.8806812237</v>
      </c>
      <c r="V101" s="871">
        <v>2642700.4378444701</v>
      </c>
      <c r="W101" s="872">
        <v>2721902.5560658015</v>
      </c>
      <c r="X101" s="872">
        <v>2750502.7102799211</v>
      </c>
      <c r="Y101" s="872">
        <v>2779102.8644940415</v>
      </c>
      <c r="Z101" s="872">
        <v>2802275.2782397773</v>
      </c>
      <c r="AA101" s="872">
        <v>2825447.6919855122</v>
      </c>
      <c r="AB101" s="872">
        <v>2855254.6164271832</v>
      </c>
      <c r="AC101" s="873">
        <v>2885061.5408688537</v>
      </c>
      <c r="AD101" s="856">
        <f t="shared" si="57"/>
        <v>0.62926458438573774</v>
      </c>
      <c r="AE101" s="871">
        <v>2642700.4378444701</v>
      </c>
      <c r="AF101" s="872">
        <v>2721902.5560658015</v>
      </c>
      <c r="AG101" s="872">
        <v>2750502.7102799211</v>
      </c>
      <c r="AH101" s="872">
        <v>2779102.8644940415</v>
      </c>
      <c r="AI101" s="872">
        <v>2802275.2782397773</v>
      </c>
      <c r="AJ101" s="872">
        <v>2825447.6919855122</v>
      </c>
      <c r="AK101" s="872">
        <v>2855254.6164271832</v>
      </c>
      <c r="AL101" s="873">
        <v>2885061.5408688537</v>
      </c>
    </row>
    <row r="102" spans="2:38" x14ac:dyDescent="0.25">
      <c r="B102" s="849" t="s">
        <v>747</v>
      </c>
      <c r="C102" s="849" t="s">
        <v>828</v>
      </c>
      <c r="D102" s="855">
        <f t="shared" si="64"/>
        <v>1287348.220695562</v>
      </c>
      <c r="G102" s="849">
        <v>1830898.431238617</v>
      </c>
      <c r="T102" s="852"/>
      <c r="U102" s="864"/>
    </row>
    <row r="103" spans="2:38" x14ac:dyDescent="0.25">
      <c r="B103" s="849" t="s">
        <v>747</v>
      </c>
      <c r="C103" s="849" t="s">
        <v>689</v>
      </c>
      <c r="D103" s="855">
        <f t="shared" si="64"/>
        <v>1333519.7126356247</v>
      </c>
      <c r="G103" s="849">
        <v>1896564.6673059126</v>
      </c>
    </row>
    <row r="104" spans="2:38" x14ac:dyDescent="0.25">
      <c r="B104" s="849" t="s">
        <v>747</v>
      </c>
      <c r="C104" s="849" t="s">
        <v>692</v>
      </c>
      <c r="D104" s="855">
        <f>2*D105</f>
        <v>5507506.8887548558</v>
      </c>
    </row>
    <row r="105" spans="2:38" x14ac:dyDescent="0.25">
      <c r="B105" s="849" t="s">
        <v>747</v>
      </c>
      <c r="C105" s="849" t="s">
        <v>699</v>
      </c>
      <c r="D105" s="855">
        <f t="shared" si="64"/>
        <v>2753753.4443774279</v>
      </c>
      <c r="G105" s="849">
        <v>3916456.1540345564</v>
      </c>
    </row>
    <row r="106" spans="2:38" x14ac:dyDescent="0.25">
      <c r="B106" s="849" t="s">
        <v>747</v>
      </c>
      <c r="C106" s="849" t="s">
        <v>827</v>
      </c>
      <c r="D106" s="855">
        <f t="shared" si="64"/>
        <v>1482419.4946631414</v>
      </c>
      <c r="G106" s="849">
        <v>2108333.6144666532</v>
      </c>
    </row>
    <row r="107" spans="2:38" x14ac:dyDescent="0.25">
      <c r="B107" s="849" t="s">
        <v>747</v>
      </c>
      <c r="C107" s="849" t="s">
        <v>700</v>
      </c>
      <c r="D107" s="855">
        <f t="shared" si="64"/>
        <v>1410435.1085540957</v>
      </c>
      <c r="G107" s="849">
        <v>2005955.6428487513</v>
      </c>
    </row>
    <row r="108" spans="2:38" x14ac:dyDescent="0.25">
      <c r="D108" s="862"/>
    </row>
    <row r="109" spans="2:38" x14ac:dyDescent="0.25">
      <c r="D109" s="862"/>
    </row>
    <row r="110" spans="2:38" x14ac:dyDescent="0.25">
      <c r="B110" s="849" t="s">
        <v>733</v>
      </c>
      <c r="C110" s="849" t="s">
        <v>733</v>
      </c>
      <c r="D110" s="862"/>
      <c r="G110" s="849">
        <v>2020</v>
      </c>
    </row>
    <row r="111" spans="2:38" x14ac:dyDescent="0.25">
      <c r="B111" s="849" t="s">
        <v>733</v>
      </c>
      <c r="C111" s="849" t="s">
        <v>791</v>
      </c>
      <c r="D111" s="862"/>
      <c r="G111" s="849" t="s">
        <v>1347</v>
      </c>
    </row>
    <row r="112" spans="2:38" x14ac:dyDescent="0.25">
      <c r="B112" s="849" t="s">
        <v>733</v>
      </c>
      <c r="C112" s="849" t="s">
        <v>687</v>
      </c>
      <c r="D112" s="855">
        <f>G112/G88*D88</f>
        <v>972850.2909553966</v>
      </c>
      <c r="G112" s="849">
        <v>1383611.7088645061</v>
      </c>
    </row>
    <row r="113" spans="2:7" x14ac:dyDescent="0.25">
      <c r="B113" s="849" t="s">
        <v>733</v>
      </c>
      <c r="C113" s="849" t="s">
        <v>829</v>
      </c>
      <c r="D113" s="855">
        <f t="shared" ref="D113:D119" si="65">G113/G89*D89</f>
        <v>1093100.2877930063</v>
      </c>
      <c r="G113" s="849">
        <v>1554634.2240061136</v>
      </c>
    </row>
    <row r="114" spans="2:7" x14ac:dyDescent="0.25">
      <c r="B114" s="849" t="s">
        <v>733</v>
      </c>
      <c r="C114" s="849" t="s">
        <v>828</v>
      </c>
      <c r="D114" s="855">
        <f t="shared" si="65"/>
        <v>1048540.3923058893</v>
      </c>
      <c r="G114" s="849">
        <v>1491260.0402134496</v>
      </c>
    </row>
    <row r="115" spans="2:7" x14ac:dyDescent="0.25">
      <c r="B115" s="849" t="s">
        <v>733</v>
      </c>
      <c r="C115" s="849" t="s">
        <v>689</v>
      </c>
      <c r="D115" s="855">
        <f t="shared" si="65"/>
        <v>1056447.3374457387</v>
      </c>
      <c r="G115" s="849">
        <v>1502505.4928576599</v>
      </c>
    </row>
    <row r="116" spans="2:7" x14ac:dyDescent="0.25">
      <c r="B116" s="849" t="s">
        <v>733</v>
      </c>
      <c r="C116" s="849" t="s">
        <v>692</v>
      </c>
      <c r="D116" s="855">
        <f>D117*2</f>
        <v>3980920.7403969811</v>
      </c>
    </row>
    <row r="117" spans="2:7" x14ac:dyDescent="0.25">
      <c r="B117" s="849" t="s">
        <v>733</v>
      </c>
      <c r="C117" s="849" t="s">
        <v>699</v>
      </c>
      <c r="D117" s="855">
        <f t="shared" si="65"/>
        <v>1990460.3701984906</v>
      </c>
      <c r="G117" s="849">
        <v>2830881.8939991225</v>
      </c>
    </row>
    <row r="118" spans="2:7" x14ac:dyDescent="0.25">
      <c r="B118" s="849" t="s">
        <v>733</v>
      </c>
      <c r="C118" s="849" t="s">
        <v>827</v>
      </c>
      <c r="D118" s="855">
        <f t="shared" si="65"/>
        <v>1218061.1152400437</v>
      </c>
      <c r="G118" s="849">
        <v>1732356.5987769766</v>
      </c>
    </row>
    <row r="119" spans="2:7" x14ac:dyDescent="0.25">
      <c r="B119" s="849" t="s">
        <v>733</v>
      </c>
      <c r="C119" s="849" t="s">
        <v>700</v>
      </c>
      <c r="D119" s="855">
        <f t="shared" si="65"/>
        <v>1170603.1430859093</v>
      </c>
      <c r="G119" s="849">
        <v>1664860.6987788989</v>
      </c>
    </row>
    <row r="120" spans="2:7" x14ac:dyDescent="0.25">
      <c r="B120" s="849" t="s">
        <v>733</v>
      </c>
      <c r="D120" s="862"/>
    </row>
    <row r="121" spans="2:7" x14ac:dyDescent="0.25">
      <c r="B121" s="849" t="s">
        <v>733</v>
      </c>
      <c r="C121" s="849" t="s">
        <v>832</v>
      </c>
      <c r="D121" s="862"/>
    </row>
    <row r="122" spans="2:7" x14ac:dyDescent="0.25">
      <c r="B122" s="849" t="s">
        <v>60</v>
      </c>
      <c r="C122" s="849" t="s">
        <v>60</v>
      </c>
      <c r="D122" s="862"/>
      <c r="G122" s="849">
        <v>2020</v>
      </c>
    </row>
    <row r="123" spans="2:7" x14ac:dyDescent="0.25">
      <c r="B123" s="849" t="s">
        <v>60</v>
      </c>
      <c r="C123" s="849" t="s">
        <v>791</v>
      </c>
      <c r="D123" s="862"/>
      <c r="G123" s="849" t="s">
        <v>1347</v>
      </c>
    </row>
    <row r="124" spans="2:7" x14ac:dyDescent="0.25">
      <c r="B124" s="849" t="s">
        <v>60</v>
      </c>
      <c r="C124" s="849" t="s">
        <v>687</v>
      </c>
      <c r="D124" s="855">
        <f>G124/G88*D88</f>
        <v>1805007.2099613762</v>
      </c>
      <c r="G124" s="849">
        <v>2567125.8296431107</v>
      </c>
    </row>
    <row r="125" spans="2:7" x14ac:dyDescent="0.25">
      <c r="B125" s="849" t="s">
        <v>60</v>
      </c>
      <c r="C125" s="849" t="s">
        <v>829</v>
      </c>
      <c r="D125" s="855">
        <f t="shared" ref="D125:D131" si="66">G125/G89*D89</f>
        <v>1913019.0738785933</v>
      </c>
      <c r="G125" s="849">
        <v>2720742.9699179786</v>
      </c>
    </row>
    <row r="126" spans="2:7" x14ac:dyDescent="0.25">
      <c r="B126" s="849" t="s">
        <v>60</v>
      </c>
      <c r="C126" s="849" t="s">
        <v>828</v>
      </c>
      <c r="D126" s="855">
        <f t="shared" si="66"/>
        <v>1878000.9348363422</v>
      </c>
      <c r="G126" s="849">
        <v>2670939.3077800749</v>
      </c>
    </row>
    <row r="127" spans="2:7" x14ac:dyDescent="0.25">
      <c r="B127" s="849" t="s">
        <v>60</v>
      </c>
      <c r="C127" s="849" t="s">
        <v>689</v>
      </c>
      <c r="D127" s="855">
        <f t="shared" si="66"/>
        <v>1905576.5152511611</v>
      </c>
      <c r="G127" s="849">
        <v>2710157.9792400058</v>
      </c>
    </row>
    <row r="128" spans="2:7" x14ac:dyDescent="0.25">
      <c r="B128" s="849" t="s">
        <v>60</v>
      </c>
      <c r="C128" s="849" t="s">
        <v>692</v>
      </c>
      <c r="D128" s="855">
        <f>2*D129</f>
        <v>5188434.2759472886</v>
      </c>
      <c r="G128" s="849">
        <v>3635729.2317425008</v>
      </c>
    </row>
    <row r="129" spans="2:7" x14ac:dyDescent="0.25">
      <c r="B129" s="849" t="s">
        <v>60</v>
      </c>
      <c r="C129" s="849" t="s">
        <v>699</v>
      </c>
      <c r="D129" s="855">
        <f t="shared" si="66"/>
        <v>2594217.1379736443</v>
      </c>
      <c r="G129" s="849">
        <v>3689559.6792311268</v>
      </c>
    </row>
    <row r="130" spans="2:7" x14ac:dyDescent="0.25">
      <c r="B130" s="849" t="s">
        <v>60</v>
      </c>
      <c r="C130" s="849" t="s">
        <v>827</v>
      </c>
      <c r="D130" s="855">
        <f t="shared" si="66"/>
        <v>1947135.3492566734</v>
      </c>
      <c r="G130" s="849">
        <v>2769263.9792806837</v>
      </c>
    </row>
    <row r="131" spans="2:7" x14ac:dyDescent="0.25">
      <c r="B131" s="849" t="s">
        <v>60</v>
      </c>
      <c r="C131" s="849" t="s">
        <v>700</v>
      </c>
      <c r="D131" s="855">
        <f t="shared" si="66"/>
        <v>1913834.4064708734</v>
      </c>
      <c r="G131" s="849">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codeName="Sheet11">
    <tabColor theme="5"/>
  </sheetPr>
  <dimension ref="A1:BA280"/>
  <sheetViews>
    <sheetView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sheetPr codeName="Sheet12"/>
  <dimension ref="A1:AZ106"/>
  <sheetViews>
    <sheetView topLeftCell="A9" zoomScaleNormal="100" workbookViewId="0">
      <selection activeCell="L71" sqref="L71:L104"/>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32">
        <f t="shared" ref="K6:R18" si="5">C6*$B$2*$K$3</f>
        <v>320262.66919658618</v>
      </c>
      <c r="L6" s="833">
        <f t="shared" si="5"/>
        <v>346795.75846684008</v>
      </c>
      <c r="M6" s="833">
        <f t="shared" si="5"/>
        <v>352701.48057385266</v>
      </c>
      <c r="N6" s="833">
        <f t="shared" si="5"/>
        <v>358607.20268086524</v>
      </c>
      <c r="O6" s="833">
        <f t="shared" si="5"/>
        <v>362536.77263877826</v>
      </c>
      <c r="P6" s="833">
        <f t="shared" si="5"/>
        <v>366466.34259669122</v>
      </c>
      <c r="Q6" s="833">
        <f t="shared" si="5"/>
        <v>368757.27234685927</v>
      </c>
      <c r="R6" s="834">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35">
        <f t="shared" si="5"/>
        <v>330565.03764846618</v>
      </c>
      <c r="L7" s="836">
        <f t="shared" si="5"/>
        <v>362874.06927397067</v>
      </c>
      <c r="M7" s="836">
        <f t="shared" si="5"/>
        <v>368516.17150263488</v>
      </c>
      <c r="N7" s="836">
        <f t="shared" si="5"/>
        <v>374158.27373129909</v>
      </c>
      <c r="O7" s="836">
        <f t="shared" si="5"/>
        <v>378274.98804105673</v>
      </c>
      <c r="P7" s="836">
        <f t="shared" si="5"/>
        <v>382391.70235081442</v>
      </c>
      <c r="Q7" s="836">
        <f t="shared" si="5"/>
        <v>384737.65217329492</v>
      </c>
      <c r="R7" s="837">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35">
        <f t="shared" si="5"/>
        <v>394510.70272290101</v>
      </c>
      <c r="L8" s="836">
        <f t="shared" si="5"/>
        <v>374543.90974527999</v>
      </c>
      <c r="M8" s="836">
        <f t="shared" si="5"/>
        <v>371312.21028277103</v>
      </c>
      <c r="N8" s="836">
        <f t="shared" si="5"/>
        <v>368080.51082026208</v>
      </c>
      <c r="O8" s="836">
        <f t="shared" si="5"/>
        <v>368595.17976320512</v>
      </c>
      <c r="P8" s="836">
        <f t="shared" si="5"/>
        <v>369109.84870614816</v>
      </c>
      <c r="Q8" s="836">
        <f t="shared" si="5"/>
        <v>369271.49063353211</v>
      </c>
      <c r="R8" s="837">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35">
        <f t="shared" si="5"/>
        <v>395481.43398802093</v>
      </c>
      <c r="L9" s="836">
        <f t="shared" si="5"/>
        <v>386013.68604714214</v>
      </c>
      <c r="M9" s="836">
        <f t="shared" si="5"/>
        <v>382958.30177482724</v>
      </c>
      <c r="N9" s="836">
        <f t="shared" si="5"/>
        <v>379902.91750251234</v>
      </c>
      <c r="O9" s="836">
        <f t="shared" si="5"/>
        <v>380663.70247783005</v>
      </c>
      <c r="P9" s="836">
        <f t="shared" si="5"/>
        <v>381424.48745314771</v>
      </c>
      <c r="Q9" s="836">
        <f t="shared" si="5"/>
        <v>381675.02828246955</v>
      </c>
      <c r="R9" s="837">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35">
        <f t="shared" si="5"/>
        <v>526171.82631130482</v>
      </c>
      <c r="L10" s="836">
        <f t="shared" si="5"/>
        <v>427333.54114544444</v>
      </c>
      <c r="M10" s="836">
        <f t="shared" si="5"/>
        <v>414093.61090799741</v>
      </c>
      <c r="N10" s="836">
        <f t="shared" si="5"/>
        <v>400853.68067055038</v>
      </c>
      <c r="O10" s="836">
        <f t="shared" si="5"/>
        <v>399527.55714761006</v>
      </c>
      <c r="P10" s="836">
        <f t="shared" si="5"/>
        <v>398201.43362466968</v>
      </c>
      <c r="Q10" s="836">
        <f t="shared" si="5"/>
        <v>396667.52129939443</v>
      </c>
      <c r="R10" s="837">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35">
        <f t="shared" si="5"/>
        <v>532428.30225914449</v>
      </c>
      <c r="L11" s="836">
        <f t="shared" si="5"/>
        <v>440029.45085484016</v>
      </c>
      <c r="M11" s="836">
        <f t="shared" si="5"/>
        <v>426660.11179427273</v>
      </c>
      <c r="N11" s="836">
        <f t="shared" si="5"/>
        <v>413290.77273370523</v>
      </c>
      <c r="O11" s="836">
        <f t="shared" si="5"/>
        <v>412151.79356260953</v>
      </c>
      <c r="P11" s="836">
        <f t="shared" si="5"/>
        <v>411012.81439151382</v>
      </c>
      <c r="Q11" s="836">
        <f t="shared" si="5"/>
        <v>409533.92213855108</v>
      </c>
      <c r="R11" s="837">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35">
        <f t="shared" si="5"/>
        <v>706853.58881499863</v>
      </c>
      <c r="L12" s="836">
        <f t="shared" si="5"/>
        <v>487918.3911366309</v>
      </c>
      <c r="M12" s="836">
        <f t="shared" si="5"/>
        <v>459639.29374443309</v>
      </c>
      <c r="N12" s="836">
        <f t="shared" si="5"/>
        <v>431360.19635223533</v>
      </c>
      <c r="O12" s="836">
        <f t="shared" si="5"/>
        <v>428119.37781269115</v>
      </c>
      <c r="P12" s="836">
        <f t="shared" si="5"/>
        <v>424878.55927314708</v>
      </c>
      <c r="Q12" s="836">
        <f t="shared" si="5"/>
        <v>421601.55996549304</v>
      </c>
      <c r="R12" s="837">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35">
        <f t="shared" si="5"/>
        <v>706989.87665374181</v>
      </c>
      <c r="L13" s="836">
        <f t="shared" si="5"/>
        <v>495608.70952664141</v>
      </c>
      <c r="M13" s="836">
        <f t="shared" si="5"/>
        <v>467425.66397272615</v>
      </c>
      <c r="N13" s="836">
        <f t="shared" si="5"/>
        <v>439242.61841881095</v>
      </c>
      <c r="O13" s="836">
        <f t="shared" si="5"/>
        <v>436188.94423111144</v>
      </c>
      <c r="P13" s="836">
        <f t="shared" si="5"/>
        <v>433135.27004341205</v>
      </c>
      <c r="Q13" s="836">
        <f t="shared" si="5"/>
        <v>429913.29080807028</v>
      </c>
      <c r="R13" s="837">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35">
        <f t="shared" si="5"/>
        <v>822704.66197061795</v>
      </c>
      <c r="L14" s="836">
        <f t="shared" si="5"/>
        <v>558548.57595396275</v>
      </c>
      <c r="M14" s="836">
        <f t="shared" si="5"/>
        <v>510538.78588041413</v>
      </c>
      <c r="N14" s="836">
        <f t="shared" si="5"/>
        <v>462528.99580686545</v>
      </c>
      <c r="O14" s="836">
        <f t="shared" si="5"/>
        <v>465643.43099478865</v>
      </c>
      <c r="P14" s="836">
        <f t="shared" si="5"/>
        <v>468757.86618271179</v>
      </c>
      <c r="Q14" s="836">
        <f t="shared" si="5"/>
        <v>470350.94411613682</v>
      </c>
      <c r="R14" s="837">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35">
        <f t="shared" si="5"/>
        <v>2484175.8049663589</v>
      </c>
      <c r="L15" s="836">
        <f t="shared" si="5"/>
        <v>982112.7518947263</v>
      </c>
      <c r="M15" s="836">
        <f t="shared" si="5"/>
        <v>749223.93872757931</v>
      </c>
      <c r="N15" s="836">
        <f t="shared" si="5"/>
        <v>516335.12556043221</v>
      </c>
      <c r="O15" s="836">
        <f t="shared" si="5"/>
        <v>488716.56129250687</v>
      </c>
      <c r="P15" s="836">
        <f t="shared" si="5"/>
        <v>461097.99702458159</v>
      </c>
      <c r="Q15" s="836">
        <f t="shared" si="5"/>
        <v>454114.11403926561</v>
      </c>
      <c r="R15" s="837">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35">
        <f t="shared" si="5"/>
        <v>2631614.9920631466</v>
      </c>
      <c r="L16" s="836">
        <f t="shared" si="5"/>
        <v>1040715.6985942443</v>
      </c>
      <c r="M16" s="836">
        <f t="shared" si="5"/>
        <v>797544.7354478729</v>
      </c>
      <c r="N16" s="836">
        <f t="shared" si="5"/>
        <v>554373.77230150148</v>
      </c>
      <c r="O16" s="836">
        <f t="shared" si="5"/>
        <v>525072.61435889918</v>
      </c>
      <c r="P16" s="836">
        <f t="shared" si="5"/>
        <v>495771.45641629689</v>
      </c>
      <c r="Q16" s="836">
        <f t="shared" si="5"/>
        <v>487246.68369685335</v>
      </c>
      <c r="R16" s="837">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35">
        <f t="shared" si="5"/>
        <v>1813155.306207042</v>
      </c>
      <c r="L17" s="836">
        <f t="shared" si="5"/>
        <v>797976.63279271475</v>
      </c>
      <c r="M17" s="836">
        <f t="shared" si="5"/>
        <v>649257.67906194751</v>
      </c>
      <c r="N17" s="836">
        <f t="shared" si="5"/>
        <v>500538.72533118032</v>
      </c>
      <c r="O17" s="836">
        <f t="shared" si="5"/>
        <v>482558.39640777424</v>
      </c>
      <c r="P17" s="836">
        <f t="shared" si="5"/>
        <v>464578.0674843684</v>
      </c>
      <c r="Q17" s="836">
        <f t="shared" si="5"/>
        <v>457318.28142704588</v>
      </c>
      <c r="R17" s="837">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35">
        <f t="shared" si="5"/>
        <v>347145.65248339355</v>
      </c>
      <c r="L18" s="836">
        <f t="shared" si="5"/>
        <v>365503.62501818576</v>
      </c>
      <c r="M18" s="836">
        <f t="shared" si="5"/>
        <v>369197.8959029917</v>
      </c>
      <c r="N18" s="836">
        <f t="shared" si="5"/>
        <v>372892.16678779764</v>
      </c>
      <c r="O18" s="836">
        <f t="shared" si="5"/>
        <v>375736.74937961187</v>
      </c>
      <c r="P18" s="836">
        <f t="shared" si="5"/>
        <v>378581.33197142603</v>
      </c>
      <c r="Q18" s="836">
        <f t="shared" si="5"/>
        <v>380157.85098815529</v>
      </c>
      <c r="R18" s="837">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38"/>
      <c r="L19" s="475"/>
      <c r="M19" s="475"/>
      <c r="N19" s="475"/>
      <c r="O19" s="475"/>
      <c r="P19" s="475"/>
      <c r="Q19" s="475"/>
      <c r="R19" s="839"/>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38"/>
      <c r="L20" s="475"/>
      <c r="M20" s="475"/>
      <c r="N20" s="475"/>
      <c r="O20" s="475"/>
      <c r="P20" s="475"/>
      <c r="Q20" s="475"/>
      <c r="R20" s="839"/>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40">
        <f>C21</f>
        <v>2010</v>
      </c>
      <c r="L21" s="371">
        <f>D21</f>
        <v>2020</v>
      </c>
      <c r="M21" s="371"/>
      <c r="N21" s="371">
        <f>F21</f>
        <v>2030</v>
      </c>
      <c r="O21" s="371"/>
      <c r="P21" s="371">
        <f>H21</f>
        <v>2040</v>
      </c>
      <c r="Q21" s="371"/>
      <c r="R21" s="841">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42" t="str">
        <f>zar.base&amp;"ZAR"</f>
        <v>2015ZAR</v>
      </c>
      <c r="L22" s="340" t="str">
        <f>zar.base&amp;"ZAR"</f>
        <v>2015ZAR</v>
      </c>
      <c r="N22" s="340" t="str">
        <f>zar.base&amp;"ZAR"</f>
        <v>2015ZAR</v>
      </c>
      <c r="P22" s="340" t="str">
        <f>zar.base&amp;"ZAR"</f>
        <v>2015ZAR</v>
      </c>
      <c r="R22" s="843"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35">
        <f t="shared" ref="K23:R26" si="10">C23*$B$2*$K$3</f>
        <v>140996.2012610439</v>
      </c>
      <c r="L23" s="836">
        <f t="shared" si="10"/>
        <v>147551.34270646883</v>
      </c>
      <c r="M23" s="836">
        <f t="shared" si="10"/>
        <v>149612.56096433167</v>
      </c>
      <c r="N23" s="836">
        <f t="shared" si="10"/>
        <v>151673.77922219451</v>
      </c>
      <c r="O23" s="836">
        <f t="shared" si="10"/>
        <v>154018.3082464562</v>
      </c>
      <c r="P23" s="836">
        <f t="shared" si="10"/>
        <v>156362.83727071786</v>
      </c>
      <c r="Q23" s="836">
        <f t="shared" si="10"/>
        <v>157446.64112516472</v>
      </c>
      <c r="R23" s="837">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35">
        <f t="shared" si="10"/>
        <v>174409.83751082345</v>
      </c>
      <c r="L24" s="836">
        <f t="shared" si="10"/>
        <v>159379.68232781059</v>
      </c>
      <c r="M24" s="836">
        <f t="shared" si="10"/>
        <v>156811.16859699812</v>
      </c>
      <c r="N24" s="836">
        <f t="shared" si="10"/>
        <v>154242.65486618562</v>
      </c>
      <c r="O24" s="836">
        <f t="shared" si="10"/>
        <v>154533.27622457623</v>
      </c>
      <c r="P24" s="836">
        <f t="shared" si="10"/>
        <v>154823.89758296681</v>
      </c>
      <c r="Q24" s="836">
        <f t="shared" si="10"/>
        <v>155381.98002998158</v>
      </c>
      <c r="R24" s="837">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35">
        <f t="shared" si="10"/>
        <v>227296.16263597918</v>
      </c>
      <c r="L25" s="836">
        <f t="shared" si="10"/>
        <v>181425.66913564043</v>
      </c>
      <c r="M25" s="836">
        <f t="shared" si="10"/>
        <v>171406.95012050911</v>
      </c>
      <c r="N25" s="836">
        <f t="shared" si="10"/>
        <v>161388.23110537775</v>
      </c>
      <c r="O25" s="836">
        <f t="shared" si="10"/>
        <v>163855.32831374026</v>
      </c>
      <c r="P25" s="836">
        <f t="shared" si="10"/>
        <v>166322.4255221028</v>
      </c>
      <c r="Q25" s="836">
        <f t="shared" si="10"/>
        <v>168760.32852405298</v>
      </c>
      <c r="R25" s="837">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35">
        <f t="shared" si="10"/>
        <v>1452431.4754462892</v>
      </c>
      <c r="L26" s="836">
        <f t="shared" si="10"/>
        <v>537952.03122821182</v>
      </c>
      <c r="M26" s="836">
        <f t="shared" si="10"/>
        <v>394604.24163485313</v>
      </c>
      <c r="N26" s="836">
        <f t="shared" si="10"/>
        <v>251256.45204149446</v>
      </c>
      <c r="O26" s="836">
        <f t="shared" si="10"/>
        <v>234442.3325583564</v>
      </c>
      <c r="P26" s="836">
        <f t="shared" si="10"/>
        <v>217628.21307521837</v>
      </c>
      <c r="Q26" s="836">
        <f t="shared" si="10"/>
        <v>214239.89532139804</v>
      </c>
      <c r="R26" s="837">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42"/>
      <c r="R27" s="843"/>
    </row>
    <row r="28" spans="1:45" x14ac:dyDescent="0.2">
      <c r="A28" s="340" t="str">
        <f t="shared" si="9"/>
        <v>Motorcycle or Moped</v>
      </c>
      <c r="B28" s="470" t="s">
        <v>832</v>
      </c>
      <c r="C28" s="474" t="s">
        <v>831</v>
      </c>
      <c r="D28" s="473">
        <v>0.08</v>
      </c>
      <c r="E28" s="472"/>
      <c r="K28" s="842"/>
      <c r="R28" s="843"/>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40">
        <f>C29</f>
        <v>2010</v>
      </c>
      <c r="L29" s="371">
        <f>D29</f>
        <v>2020</v>
      </c>
      <c r="M29" s="371"/>
      <c r="N29" s="371">
        <f>F29</f>
        <v>2030</v>
      </c>
      <c r="O29" s="371"/>
      <c r="P29" s="371">
        <f>H29</f>
        <v>2040</v>
      </c>
      <c r="Q29" s="371"/>
      <c r="R29" s="841">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42" t="str">
        <f>zar.base&amp;"ZAR"</f>
        <v>2015ZAR</v>
      </c>
      <c r="L30" s="340" t="str">
        <f>zar.base&amp;"ZAR"</f>
        <v>2015ZAR</v>
      </c>
      <c r="N30" s="340" t="str">
        <f>zar.base&amp;"ZAR"</f>
        <v>2015ZAR</v>
      </c>
      <c r="P30" s="340" t="str">
        <f>zar.base&amp;"ZAR"</f>
        <v>2015ZAR</v>
      </c>
      <c r="R30" s="843"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35">
        <f t="shared" ref="K31:R43" si="16">C31*$B$2*$K$3</f>
        <v>256661.9753328345</v>
      </c>
      <c r="L31" s="836">
        <f t="shared" si="16"/>
        <v>279008.35302471276</v>
      </c>
      <c r="M31" s="836">
        <f t="shared" si="16"/>
        <v>284150.0701234903</v>
      </c>
      <c r="N31" s="836">
        <f t="shared" si="16"/>
        <v>289291.78722226777</v>
      </c>
      <c r="O31" s="836">
        <f t="shared" si="16"/>
        <v>295609.37144945067</v>
      </c>
      <c r="P31" s="836">
        <f t="shared" si="16"/>
        <v>301926.95567663357</v>
      </c>
      <c r="Q31" s="836">
        <f t="shared" si="16"/>
        <v>305092.2662489441</v>
      </c>
      <c r="R31" s="837">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35">
        <f t="shared" si="16"/>
        <v>273963.5068382945</v>
      </c>
      <c r="L32" s="836">
        <f t="shared" si="16"/>
        <v>302454.01055301359</v>
      </c>
      <c r="M32" s="836">
        <f t="shared" si="16"/>
        <v>307843.23555284203</v>
      </c>
      <c r="N32" s="836">
        <f t="shared" si="16"/>
        <v>313232.46055267047</v>
      </c>
      <c r="O32" s="836">
        <f t="shared" si="16"/>
        <v>319756.39835543133</v>
      </c>
      <c r="P32" s="836">
        <f t="shared" si="16"/>
        <v>326280.33615819225</v>
      </c>
      <c r="Q32" s="836">
        <f t="shared" si="16"/>
        <v>329483.28918391035</v>
      </c>
      <c r="R32" s="837">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35">
        <f t="shared" si="16"/>
        <v>312901.78233298892</v>
      </c>
      <c r="L33" s="836">
        <f t="shared" si="16"/>
        <v>304843.98823993577</v>
      </c>
      <c r="M33" s="836">
        <f t="shared" si="16"/>
        <v>302907.47306587646</v>
      </c>
      <c r="N33" s="836">
        <f t="shared" si="16"/>
        <v>300970.9578918172</v>
      </c>
      <c r="O33" s="836">
        <f t="shared" si="16"/>
        <v>303738.94959199568</v>
      </c>
      <c r="P33" s="836">
        <f t="shared" si="16"/>
        <v>306506.94129217422</v>
      </c>
      <c r="Q33" s="836">
        <f t="shared" si="16"/>
        <v>307629.24987310497</v>
      </c>
      <c r="R33" s="837">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35">
        <f t="shared" si="16"/>
        <v>331028.30930312449</v>
      </c>
      <c r="L34" s="836">
        <f t="shared" si="16"/>
        <v>326716.98101003445</v>
      </c>
      <c r="M34" s="836">
        <f t="shared" si="16"/>
        <v>324521.50162893633</v>
      </c>
      <c r="N34" s="836">
        <f t="shared" si="16"/>
        <v>322326.02224783826</v>
      </c>
      <c r="O34" s="836">
        <f t="shared" si="16"/>
        <v>325263.56979321735</v>
      </c>
      <c r="P34" s="836">
        <f t="shared" si="16"/>
        <v>328201.11733859644</v>
      </c>
      <c r="Q34" s="836">
        <f t="shared" si="16"/>
        <v>329321.81828075892</v>
      </c>
      <c r="R34" s="837">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35">
        <f t="shared" si="16"/>
        <v>391481.07154940313</v>
      </c>
      <c r="L35" s="836">
        <f t="shared" si="16"/>
        <v>339982.20467586158</v>
      </c>
      <c r="M35" s="836">
        <f t="shared" si="16"/>
        <v>331059.16492119117</v>
      </c>
      <c r="N35" s="836">
        <f t="shared" si="16"/>
        <v>322136.12516652065</v>
      </c>
      <c r="O35" s="836">
        <f t="shared" si="16"/>
        <v>323006.64147182775</v>
      </c>
      <c r="P35" s="836">
        <f t="shared" si="16"/>
        <v>323877.15777713485</v>
      </c>
      <c r="Q35" s="836">
        <f t="shared" si="16"/>
        <v>323593.37485257658</v>
      </c>
      <c r="R35" s="837">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35">
        <f t="shared" si="16"/>
        <v>407474.79468737578</v>
      </c>
      <c r="L36" s="836">
        <f t="shared" si="16"/>
        <v>360682.48912301363</v>
      </c>
      <c r="M36" s="836">
        <f t="shared" si="16"/>
        <v>351716.16664973373</v>
      </c>
      <c r="N36" s="836">
        <f t="shared" si="16"/>
        <v>342749.84417645383</v>
      </c>
      <c r="O36" s="836">
        <f t="shared" si="16"/>
        <v>343826.71405733895</v>
      </c>
      <c r="P36" s="836">
        <f t="shared" si="16"/>
        <v>344903.58393822401</v>
      </c>
      <c r="Q36" s="836">
        <f t="shared" si="16"/>
        <v>344657.44346707332</v>
      </c>
      <c r="R36" s="837">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35">
        <f t="shared" si="16"/>
        <v>496559.73718594579</v>
      </c>
      <c r="L37" s="836">
        <f t="shared" si="16"/>
        <v>378588.95630492171</v>
      </c>
      <c r="M37" s="836">
        <f t="shared" si="16"/>
        <v>360727.4622038473</v>
      </c>
      <c r="N37" s="836">
        <f t="shared" si="16"/>
        <v>342865.96810277284</v>
      </c>
      <c r="O37" s="836">
        <f t="shared" si="16"/>
        <v>342470.67215617938</v>
      </c>
      <c r="P37" s="836">
        <f t="shared" si="16"/>
        <v>342075.37620958587</v>
      </c>
      <c r="Q37" s="836">
        <f t="shared" si="16"/>
        <v>340639.12087968597</v>
      </c>
      <c r="R37" s="837">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35">
        <f t="shared" si="16"/>
        <v>511492.56089864328</v>
      </c>
      <c r="L38" s="836">
        <f t="shared" si="16"/>
        <v>395813.38161575678</v>
      </c>
      <c r="M38" s="836">
        <f t="shared" si="16"/>
        <v>377420.10669636662</v>
      </c>
      <c r="N38" s="836">
        <f t="shared" si="16"/>
        <v>359026.83177697641</v>
      </c>
      <c r="O38" s="836">
        <f t="shared" si="16"/>
        <v>358837.88940596086</v>
      </c>
      <c r="P38" s="836">
        <f t="shared" si="16"/>
        <v>358648.94703494536</v>
      </c>
      <c r="Q38" s="836">
        <f t="shared" si="16"/>
        <v>357250.33415845298</v>
      </c>
      <c r="R38" s="837">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35">
        <f t="shared" si="16"/>
        <v>687128.15488599741</v>
      </c>
      <c r="L39" s="836">
        <f t="shared" si="16"/>
        <v>469949.59053506178</v>
      </c>
      <c r="M39" s="836">
        <f t="shared" si="16"/>
        <v>432380.94769067498</v>
      </c>
      <c r="N39" s="836">
        <f t="shared" si="16"/>
        <v>394812.30484628811</v>
      </c>
      <c r="O39" s="836">
        <f t="shared" si="16"/>
        <v>398727.68873224943</v>
      </c>
      <c r="P39" s="836">
        <f t="shared" si="16"/>
        <v>402643.07261821086</v>
      </c>
      <c r="Q39" s="836">
        <f t="shared" si="16"/>
        <v>404655.09436187055</v>
      </c>
      <c r="R39" s="837">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35">
        <f t="shared" si="16"/>
        <v>2029535.5581229187</v>
      </c>
      <c r="L40" s="836">
        <f t="shared" si="16"/>
        <v>811440.95954608021</v>
      </c>
      <c r="M40" s="836">
        <f t="shared" si="16"/>
        <v>622919.2856946364</v>
      </c>
      <c r="N40" s="836">
        <f t="shared" si="16"/>
        <v>434397.61184319266</v>
      </c>
      <c r="O40" s="836">
        <f t="shared" si="16"/>
        <v>413664.79392003053</v>
      </c>
      <c r="P40" s="836">
        <f t="shared" si="16"/>
        <v>392931.97599686834</v>
      </c>
      <c r="Q40" s="836">
        <f t="shared" si="16"/>
        <v>387589.42716879566</v>
      </c>
      <c r="R40" s="837">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35">
        <f t="shared" si="16"/>
        <v>2114672.9625383778</v>
      </c>
      <c r="L41" s="836">
        <f t="shared" si="16"/>
        <v>850128.3240129943</v>
      </c>
      <c r="M41" s="836">
        <f t="shared" si="16"/>
        <v>655524.58181147499</v>
      </c>
      <c r="N41" s="836">
        <f t="shared" si="16"/>
        <v>460920.8396099559</v>
      </c>
      <c r="O41" s="836">
        <f t="shared" si="16"/>
        <v>439117.74429542525</v>
      </c>
      <c r="P41" s="836">
        <f t="shared" si="16"/>
        <v>417314.64898089459</v>
      </c>
      <c r="Q41" s="836">
        <f t="shared" si="16"/>
        <v>410990.01008050452</v>
      </c>
      <c r="R41" s="837">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35">
        <f t="shared" si="16"/>
        <v>1450504.470819857</v>
      </c>
      <c r="L42" s="836">
        <f t="shared" si="16"/>
        <v>654484.66361127386</v>
      </c>
      <c r="M42" s="836">
        <f t="shared" si="16"/>
        <v>534980.27749698469</v>
      </c>
      <c r="N42" s="836">
        <f t="shared" si="16"/>
        <v>415475.89138269558</v>
      </c>
      <c r="O42" s="836">
        <f t="shared" si="16"/>
        <v>402645.7854288643</v>
      </c>
      <c r="P42" s="836">
        <f t="shared" si="16"/>
        <v>389815.67947503307</v>
      </c>
      <c r="Q42" s="836">
        <f t="shared" si="16"/>
        <v>384665.56853580126</v>
      </c>
      <c r="R42" s="837">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35">
        <f t="shared" si="16"/>
        <v>299496.70074222406</v>
      </c>
      <c r="L43" s="836">
        <f t="shared" si="16"/>
        <v>314789.02729539643</v>
      </c>
      <c r="M43" s="836">
        <f t="shared" si="16"/>
        <v>318102.56056284037</v>
      </c>
      <c r="N43" s="836">
        <f t="shared" si="16"/>
        <v>321416.09383028437</v>
      </c>
      <c r="O43" s="836">
        <f t="shared" si="16"/>
        <v>326165.12299253611</v>
      </c>
      <c r="P43" s="836">
        <f t="shared" si="16"/>
        <v>330914.15215478779</v>
      </c>
      <c r="Q43" s="836">
        <f t="shared" si="16"/>
        <v>332996.62735681463</v>
      </c>
      <c r="R43" s="837">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38"/>
      <c r="L44" s="475"/>
      <c r="M44" s="475"/>
      <c r="N44" s="475"/>
      <c r="O44" s="475"/>
      <c r="P44" s="475"/>
      <c r="Q44" s="475"/>
      <c r="R44" s="839"/>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44"/>
      <c r="L45" s="471"/>
      <c r="M45" s="471"/>
      <c r="N45" s="471"/>
      <c r="O45" s="471"/>
      <c r="P45" s="471"/>
      <c r="Q45" s="471"/>
      <c r="R45" s="845"/>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40">
        <f>C46</f>
        <v>2010</v>
      </c>
      <c r="L46" s="371">
        <f>D46</f>
        <v>2020</v>
      </c>
      <c r="M46" s="371"/>
      <c r="N46" s="371">
        <f>F46</f>
        <v>2030</v>
      </c>
      <c r="O46" s="371"/>
      <c r="P46" s="371">
        <f>H46</f>
        <v>2040</v>
      </c>
      <c r="Q46" s="371"/>
      <c r="R46" s="841">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42" t="str">
        <f>zar.base&amp;"ZAR"</f>
        <v>2015ZAR</v>
      </c>
      <c r="L47" s="340" t="str">
        <f>zar.base&amp;"ZAR"</f>
        <v>2015ZAR</v>
      </c>
      <c r="N47" s="340" t="str">
        <f>zar.base&amp;"ZAR"</f>
        <v>2015ZAR</v>
      </c>
      <c r="P47" s="340" t="str">
        <f>zar.base&amp;"ZAR"</f>
        <v>2015ZAR</v>
      </c>
      <c r="R47" s="843"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35">
        <f t="shared" ref="K48:R56" si="18">C48*$B$2*$K$3</f>
        <v>665630.86833121476</v>
      </c>
      <c r="L48" s="836">
        <f t="shared" si="18"/>
        <v>800945.7513197927</v>
      </c>
      <c r="M48" s="836">
        <f t="shared" si="18"/>
        <v>826287.49318747991</v>
      </c>
      <c r="N48" s="836">
        <f t="shared" si="18"/>
        <v>851629.23505516711</v>
      </c>
      <c r="O48" s="836">
        <f t="shared" si="18"/>
        <v>874323.18709736317</v>
      </c>
      <c r="P48" s="836">
        <f t="shared" si="18"/>
        <v>897017.13913955924</v>
      </c>
      <c r="Q48" s="836">
        <f t="shared" si="18"/>
        <v>911917.84375750553</v>
      </c>
      <c r="R48" s="837">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460">
        <f>J48*'Vehicle data-proc2023'!$H$102</f>
        <v>32165.176311322364</v>
      </c>
      <c r="K49" s="835">
        <f t="shared" si="18"/>
        <v>524441.75232732459</v>
      </c>
      <c r="L49" s="836">
        <f t="shared" si="18"/>
        <v>631054.55790289911</v>
      </c>
      <c r="M49" s="836">
        <f t="shared" si="18"/>
        <v>651020.98095271387</v>
      </c>
      <c r="N49" s="836">
        <f t="shared" si="18"/>
        <v>670987.40400252875</v>
      </c>
      <c r="O49" s="836">
        <f t="shared" si="18"/>
        <v>688867.66848918016</v>
      </c>
      <c r="P49" s="836">
        <f t="shared" si="18"/>
        <v>706747.93297583144</v>
      </c>
      <c r="Q49" s="836">
        <f t="shared" si="18"/>
        <v>718488.00095125346</v>
      </c>
      <c r="R49" s="837">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35">
        <f t="shared" si="18"/>
        <v>809781.47955487901</v>
      </c>
      <c r="L50" s="836">
        <f t="shared" si="18"/>
        <v>905485.27878454118</v>
      </c>
      <c r="M50" s="836">
        <f t="shared" si="18"/>
        <v>913269.92469678773</v>
      </c>
      <c r="N50" s="836">
        <f t="shared" si="18"/>
        <v>921054.57060903416</v>
      </c>
      <c r="O50" s="836">
        <f t="shared" si="18"/>
        <v>935029.30465434329</v>
      </c>
      <c r="P50" s="836">
        <f t="shared" si="18"/>
        <v>949004.03869965253</v>
      </c>
      <c r="Q50" s="836">
        <f t="shared" si="18"/>
        <v>958231.93363923894</v>
      </c>
      <c r="R50" s="837">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35">
        <f t="shared" si="18"/>
        <v>822054.4421285463</v>
      </c>
      <c r="L51" s="836">
        <f t="shared" si="18"/>
        <v>867855.65580572386</v>
      </c>
      <c r="M51" s="836">
        <f t="shared" si="18"/>
        <v>883566.63350437384</v>
      </c>
      <c r="N51" s="836">
        <f t="shared" si="18"/>
        <v>899277.61120302393</v>
      </c>
      <c r="O51" s="836">
        <f t="shared" si="18"/>
        <v>919122.33011158789</v>
      </c>
      <c r="P51" s="836">
        <f t="shared" si="18"/>
        <v>938967.04902015161</v>
      </c>
      <c r="Q51" s="836">
        <f t="shared" si="18"/>
        <v>949220.9609977334</v>
      </c>
      <c r="R51" s="837">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35">
        <f t="shared" si="18"/>
        <v>843813.12099593447</v>
      </c>
      <c r="L52" s="836">
        <f t="shared" si="18"/>
        <v>885377.7159720764</v>
      </c>
      <c r="M52" s="836">
        <f t="shared" si="18"/>
        <v>887934.07694784389</v>
      </c>
      <c r="N52" s="836">
        <f t="shared" si="18"/>
        <v>890490.43792361103</v>
      </c>
      <c r="O52" s="836">
        <f t="shared" si="18"/>
        <v>897019.22104842484</v>
      </c>
      <c r="P52" s="836">
        <f t="shared" si="18"/>
        <v>903548.00417323865</v>
      </c>
      <c r="Q52" s="836">
        <f t="shared" si="18"/>
        <v>910472.04174300213</v>
      </c>
      <c r="R52" s="837">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35">
        <f t="shared" si="18"/>
        <v>2230718.2521627168</v>
      </c>
      <c r="L53" s="836">
        <f t="shared" si="18"/>
        <v>1464212.0349055484</v>
      </c>
      <c r="M53" s="836">
        <f t="shared" si="18"/>
        <v>1329574.4709027691</v>
      </c>
      <c r="N53" s="836">
        <f t="shared" si="18"/>
        <v>1194936.9068999893</v>
      </c>
      <c r="O53" s="836">
        <f t="shared" si="18"/>
        <v>1204521.7652840337</v>
      </c>
      <c r="P53" s="836">
        <f t="shared" si="18"/>
        <v>1214106.6236680776</v>
      </c>
      <c r="Q53" s="836">
        <f t="shared" si="18"/>
        <v>1217089.6391281676</v>
      </c>
      <c r="R53" s="837">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35">
        <f t="shared" si="18"/>
        <v>4238674.4146435475</v>
      </c>
      <c r="L54" s="836">
        <f t="shared" si="18"/>
        <v>1816072.504069217</v>
      </c>
      <c r="M54" s="836">
        <f t="shared" si="18"/>
        <v>1430827.4184126148</v>
      </c>
      <c r="N54" s="836">
        <f t="shared" si="18"/>
        <v>1045582.3327560129</v>
      </c>
      <c r="O54" s="836">
        <f t="shared" si="18"/>
        <v>997862.38106442767</v>
      </c>
      <c r="P54" s="836">
        <f t="shared" si="18"/>
        <v>950142.42937284242</v>
      </c>
      <c r="Q54" s="836">
        <f t="shared" si="18"/>
        <v>933225.19539688097</v>
      </c>
      <c r="R54" s="837">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35">
        <f t="shared" si="18"/>
        <v>1051516.7511577115</v>
      </c>
      <c r="L55" s="836">
        <f t="shared" si="18"/>
        <v>1031864.0418883342</v>
      </c>
      <c r="M55" s="836">
        <f t="shared" si="18"/>
        <v>1035882.9494916156</v>
      </c>
      <c r="N55" s="836">
        <f t="shared" si="18"/>
        <v>1039901.8570948968</v>
      </c>
      <c r="O55" s="836">
        <f t="shared" si="18"/>
        <v>1050748.8162426385</v>
      </c>
      <c r="P55" s="836">
        <f t="shared" si="18"/>
        <v>1061595.7753903801</v>
      </c>
      <c r="Q55" s="836">
        <f t="shared" si="18"/>
        <v>1069132.5628851603</v>
      </c>
      <c r="R55" s="837">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35">
        <f t="shared" si="18"/>
        <v>1005171.5263628296</v>
      </c>
      <c r="L56" s="836">
        <f t="shared" si="18"/>
        <v>989516.39816888212</v>
      </c>
      <c r="M56" s="836">
        <f t="shared" si="18"/>
        <v>992950.77775874839</v>
      </c>
      <c r="N56" s="836">
        <f t="shared" si="18"/>
        <v>996385.15734861477</v>
      </c>
      <c r="O56" s="836">
        <f t="shared" si="18"/>
        <v>1007345.0964593297</v>
      </c>
      <c r="P56" s="836">
        <f t="shared" si="18"/>
        <v>1018305.0355700447</v>
      </c>
      <c r="Q56" s="836">
        <f t="shared" si="18"/>
        <v>1025944.9247305429</v>
      </c>
      <c r="R56" s="837">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38"/>
      <c r="L57" s="475"/>
      <c r="M57" s="475"/>
      <c r="N57" s="475"/>
      <c r="O57" s="475"/>
      <c r="P57" s="475"/>
      <c r="Q57" s="475"/>
      <c r="R57" s="839"/>
    </row>
    <row r="58" spans="1:33" x14ac:dyDescent="0.2">
      <c r="A58" s="340" t="str">
        <f t="shared" si="23"/>
        <v>Small Rigid Truck</v>
      </c>
      <c r="B58" s="470" t="s">
        <v>832</v>
      </c>
      <c r="C58" s="474" t="s">
        <v>831</v>
      </c>
      <c r="D58" s="473">
        <v>0.08</v>
      </c>
      <c r="E58" s="472"/>
      <c r="F58" s="471"/>
      <c r="G58" s="471"/>
      <c r="H58" s="471"/>
      <c r="I58" s="471"/>
      <c r="J58" s="471"/>
      <c r="K58" s="844"/>
      <c r="L58" s="471"/>
      <c r="M58" s="471"/>
      <c r="N58" s="471"/>
      <c r="O58" s="471"/>
      <c r="P58" s="471"/>
      <c r="Q58" s="471"/>
      <c r="R58" s="845"/>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40">
        <f>C59</f>
        <v>2010</v>
      </c>
      <c r="L59" s="371">
        <f>D59</f>
        <v>2020</v>
      </c>
      <c r="M59" s="371"/>
      <c r="N59" s="371">
        <f>F59</f>
        <v>2030</v>
      </c>
      <c r="O59" s="371"/>
      <c r="P59" s="371">
        <f>H59</f>
        <v>2040</v>
      </c>
      <c r="Q59" s="371"/>
      <c r="R59" s="841">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42" t="str">
        <f>zar.base&amp;"ZAR"</f>
        <v>2015ZAR</v>
      </c>
      <c r="L60" s="340" t="str">
        <f>zar.base&amp;"ZAR"</f>
        <v>2015ZAR</v>
      </c>
      <c r="N60" s="340" t="str">
        <f>zar.base&amp;"ZAR"</f>
        <v>2015ZAR</v>
      </c>
      <c r="P60" s="340" t="str">
        <f>zar.base&amp;"ZAR"</f>
        <v>2015ZAR</v>
      </c>
      <c r="R60" s="843"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35">
        <f t="shared" ref="K61:R68" si="25">C61*$B$2*$K$3</f>
        <v>1089930.327527541</v>
      </c>
      <c r="L61" s="836">
        <f t="shared" si="25"/>
        <v>1315389.054772544</v>
      </c>
      <c r="M61" s="836">
        <f t="shared" si="25"/>
        <v>1357929.7395903205</v>
      </c>
      <c r="N61" s="836">
        <f t="shared" si="25"/>
        <v>1400470.4244080975</v>
      </c>
      <c r="O61" s="836">
        <f t="shared" si="25"/>
        <v>1427774.4170071429</v>
      </c>
      <c r="P61" s="836">
        <f t="shared" si="25"/>
        <v>1455078.4096061881</v>
      </c>
      <c r="Q61" s="836">
        <f t="shared" si="25"/>
        <v>1478587.2547298784</v>
      </c>
      <c r="R61" s="837">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35">
        <f t="shared" si="25"/>
        <v>1251184.4931443066</v>
      </c>
      <c r="L62" s="836">
        <f t="shared" si="25"/>
        <v>1438328.6388271647</v>
      </c>
      <c r="M62" s="836">
        <f t="shared" si="25"/>
        <v>1457758.3583193333</v>
      </c>
      <c r="N62" s="836">
        <f t="shared" si="25"/>
        <v>1477188.0778115019</v>
      </c>
      <c r="O62" s="836">
        <f t="shared" si="25"/>
        <v>1493178.5248990091</v>
      </c>
      <c r="P62" s="836">
        <f t="shared" si="25"/>
        <v>1509168.9719865166</v>
      </c>
      <c r="Q62" s="836">
        <f t="shared" si="25"/>
        <v>1525317.1010085675</v>
      </c>
      <c r="R62" s="837">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35">
        <f t="shared" si="25"/>
        <v>1222376.4895484564</v>
      </c>
      <c r="L63" s="836">
        <f t="shared" si="25"/>
        <v>1372038.5110622062</v>
      </c>
      <c r="M63" s="836">
        <f t="shared" si="25"/>
        <v>1403655.9464542887</v>
      </c>
      <c r="N63" s="836">
        <f t="shared" si="25"/>
        <v>1435273.3818463711</v>
      </c>
      <c r="O63" s="836">
        <f t="shared" si="25"/>
        <v>1464654.7994727818</v>
      </c>
      <c r="P63" s="836">
        <f t="shared" si="25"/>
        <v>1494036.2170991923</v>
      </c>
      <c r="Q63" s="836">
        <f t="shared" si="25"/>
        <v>1512239.1151073836</v>
      </c>
      <c r="R63" s="837">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35">
        <f t="shared" si="25"/>
        <v>1374599.6336241232</v>
      </c>
      <c r="L64" s="836">
        <f t="shared" si="25"/>
        <v>1464573.7294294063</v>
      </c>
      <c r="M64" s="836">
        <f t="shared" si="25"/>
        <v>1471747.0120627852</v>
      </c>
      <c r="N64" s="836">
        <f t="shared" si="25"/>
        <v>1478920.2946961639</v>
      </c>
      <c r="O64" s="836">
        <f t="shared" si="25"/>
        <v>1490612.6270692046</v>
      </c>
      <c r="P64" s="836">
        <f t="shared" si="25"/>
        <v>1502304.9594422451</v>
      </c>
      <c r="Q64" s="836">
        <f t="shared" si="25"/>
        <v>1512718.513444247</v>
      </c>
      <c r="R64" s="837">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35">
        <f t="shared" si="25"/>
        <v>0</v>
      </c>
      <c r="L65" s="836">
        <f t="shared" si="25"/>
        <v>0</v>
      </c>
      <c r="M65" s="836">
        <f t="shared" si="25"/>
        <v>0</v>
      </c>
      <c r="N65" s="836">
        <f t="shared" si="25"/>
        <v>0</v>
      </c>
      <c r="O65" s="836">
        <f t="shared" si="25"/>
        <v>0</v>
      </c>
      <c r="P65" s="836">
        <f t="shared" si="25"/>
        <v>0</v>
      </c>
      <c r="Q65" s="836">
        <f t="shared" si="25"/>
        <v>0</v>
      </c>
      <c r="R65" s="837">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35">
        <f t="shared" si="25"/>
        <v>6644860.7955950676</v>
      </c>
      <c r="L66" s="836">
        <f t="shared" si="25"/>
        <v>2881312.2182852593</v>
      </c>
      <c r="M66" s="836">
        <f t="shared" si="25"/>
        <v>2283873.3934198092</v>
      </c>
      <c r="N66" s="836">
        <f t="shared" si="25"/>
        <v>1686434.5685543588</v>
      </c>
      <c r="O66" s="836">
        <f t="shared" si="25"/>
        <v>1608198.73521888</v>
      </c>
      <c r="P66" s="836">
        <f t="shared" si="25"/>
        <v>1529962.9018834007</v>
      </c>
      <c r="Q66" s="836">
        <f t="shared" si="25"/>
        <v>1501349.5276454913</v>
      </c>
      <c r="R66" s="837">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35">
        <f t="shared" si="25"/>
        <v>1562141.1336075412</v>
      </c>
      <c r="L67" s="836">
        <f t="shared" si="25"/>
        <v>1591595.5728002738</v>
      </c>
      <c r="M67" s="836">
        <f t="shared" si="25"/>
        <v>1602100.4306893663</v>
      </c>
      <c r="N67" s="836">
        <f t="shared" si="25"/>
        <v>1612605.2885784588</v>
      </c>
      <c r="O67" s="836">
        <f t="shared" si="25"/>
        <v>1624721.9307912919</v>
      </c>
      <c r="P67" s="836">
        <f t="shared" si="25"/>
        <v>1636838.5730041252</v>
      </c>
      <c r="Q67" s="836">
        <f t="shared" si="25"/>
        <v>1650435.1852328968</v>
      </c>
      <c r="R67" s="837">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35">
        <f t="shared" si="25"/>
        <v>1486783.2282106197</v>
      </c>
      <c r="L68" s="836">
        <f t="shared" si="25"/>
        <v>1519091.0625229813</v>
      </c>
      <c r="M68" s="836">
        <f t="shared" si="25"/>
        <v>1527837.0652034522</v>
      </c>
      <c r="N68" s="836">
        <f t="shared" si="25"/>
        <v>1536583.0678839239</v>
      </c>
      <c r="O68" s="836">
        <f t="shared" si="25"/>
        <v>1548848.7797205006</v>
      </c>
      <c r="P68" s="836">
        <f t="shared" si="25"/>
        <v>1561114.491557077</v>
      </c>
      <c r="Q68" s="836">
        <f t="shared" si="25"/>
        <v>1574767.0644580827</v>
      </c>
      <c r="R68" s="837">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42"/>
      <c r="R69" s="843"/>
      <c r="Z69" s="440"/>
      <c r="AA69" s="440"/>
    </row>
    <row r="70" spans="1:33" ht="15" x14ac:dyDescent="0.2">
      <c r="A70" s="340" t="str">
        <f t="shared" si="24"/>
        <v>Large Rigid Truck</v>
      </c>
      <c r="B70" s="456" t="s">
        <v>832</v>
      </c>
      <c r="C70" s="377" t="s">
        <v>831</v>
      </c>
      <c r="D70" s="376">
        <v>0.08</v>
      </c>
      <c r="E70" s="375"/>
      <c r="K70" s="842"/>
      <c r="R70" s="843"/>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40">
        <f>C71</f>
        <v>2010</v>
      </c>
      <c r="L71" s="371">
        <f>D71</f>
        <v>2020</v>
      </c>
      <c r="M71" s="371"/>
      <c r="N71" s="371">
        <f>F71</f>
        <v>2030</v>
      </c>
      <c r="O71" s="371"/>
      <c r="P71" s="371">
        <f>H71</f>
        <v>2040</v>
      </c>
      <c r="Q71" s="371"/>
      <c r="R71" s="841">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42" t="str">
        <f>zar.base&amp;"ZAR"</f>
        <v>2015ZAR</v>
      </c>
      <c r="L72" s="340" t="str">
        <f>zar.base&amp;"ZAR"</f>
        <v>2015ZAR</v>
      </c>
      <c r="N72" s="340" t="str">
        <f>zar.base&amp;"ZAR"</f>
        <v>2015ZAR</v>
      </c>
      <c r="P72" s="340" t="str">
        <f>zar.base&amp;"ZAR"</f>
        <v>2015ZAR</v>
      </c>
      <c r="R72" s="843"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35">
        <f t="shared" ref="K73:R80" si="28">C73*$B$2*$K$3</f>
        <v>1394803.006015125</v>
      </c>
      <c r="L73" s="836">
        <f t="shared" si="28"/>
        <v>1729683.6457722846</v>
      </c>
      <c r="M73" s="836">
        <f t="shared" si="28"/>
        <v>1774391.33913615</v>
      </c>
      <c r="N73" s="836">
        <f t="shared" si="28"/>
        <v>1819099.0325000153</v>
      </c>
      <c r="O73" s="836">
        <f t="shared" si="28"/>
        <v>1853992.6191889104</v>
      </c>
      <c r="P73" s="836">
        <f t="shared" si="28"/>
        <v>1888886.2058778054</v>
      </c>
      <c r="Q73" s="836">
        <f t="shared" si="28"/>
        <v>1910564.3362565318</v>
      </c>
      <c r="R73" s="837">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35">
        <f t="shared" si="28"/>
        <v>1623656.3943534463</v>
      </c>
      <c r="L74" s="836">
        <f t="shared" si="28"/>
        <v>1881307.4022600672</v>
      </c>
      <c r="M74" s="836">
        <f t="shared" si="28"/>
        <v>1896865.6479296605</v>
      </c>
      <c r="N74" s="836">
        <f t="shared" si="28"/>
        <v>1912423.8935992543</v>
      </c>
      <c r="O74" s="836">
        <f t="shared" si="28"/>
        <v>1933172.1213173277</v>
      </c>
      <c r="P74" s="836">
        <f t="shared" si="28"/>
        <v>1953920.3490354014</v>
      </c>
      <c r="Q74" s="836">
        <f t="shared" si="28"/>
        <v>1966451.5529619923</v>
      </c>
      <c r="R74" s="837">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35">
        <f t="shared" si="28"/>
        <v>1644345.102691914</v>
      </c>
      <c r="L75" s="836">
        <f t="shared" si="28"/>
        <v>1830898.431238617</v>
      </c>
      <c r="M75" s="836">
        <f t="shared" si="28"/>
        <v>1857526.1820196833</v>
      </c>
      <c r="N75" s="836">
        <f t="shared" si="28"/>
        <v>1884153.93280075</v>
      </c>
      <c r="O75" s="836">
        <f t="shared" si="28"/>
        <v>1913327.2564421173</v>
      </c>
      <c r="P75" s="836">
        <f t="shared" si="28"/>
        <v>1942500.5800834852</v>
      </c>
      <c r="Q75" s="836">
        <f t="shared" si="28"/>
        <v>1956760.1309602302</v>
      </c>
      <c r="R75" s="837">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35">
        <f t="shared" si="28"/>
        <v>1783475.1840649548</v>
      </c>
      <c r="L76" s="836">
        <f t="shared" si="28"/>
        <v>1896564.6673059126</v>
      </c>
      <c r="M76" s="836">
        <f t="shared" si="28"/>
        <v>1902507.9210785097</v>
      </c>
      <c r="N76" s="836">
        <f t="shared" si="28"/>
        <v>1908451.1748511069</v>
      </c>
      <c r="O76" s="836">
        <f t="shared" si="28"/>
        <v>1922319.7681714082</v>
      </c>
      <c r="P76" s="836">
        <f t="shared" si="28"/>
        <v>1936188.3614917099</v>
      </c>
      <c r="Q76" s="836">
        <f t="shared" si="28"/>
        <v>1947352.6226984155</v>
      </c>
      <c r="R76" s="837">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35">
        <f t="shared" si="28"/>
        <v>0</v>
      </c>
      <c r="L77" s="836">
        <f t="shared" si="28"/>
        <v>0</v>
      </c>
      <c r="M77" s="836">
        <f t="shared" si="28"/>
        <v>0</v>
      </c>
      <c r="N77" s="836">
        <f t="shared" si="28"/>
        <v>0</v>
      </c>
      <c r="O77" s="836">
        <f t="shared" si="28"/>
        <v>0</v>
      </c>
      <c r="P77" s="836">
        <f t="shared" si="28"/>
        <v>0</v>
      </c>
      <c r="Q77" s="836">
        <f t="shared" si="28"/>
        <v>0</v>
      </c>
      <c r="R77" s="837">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35">
        <f t="shared" si="28"/>
        <v>9333066.2203088477</v>
      </c>
      <c r="L78" s="836">
        <f t="shared" si="28"/>
        <v>3916456.1540345564</v>
      </c>
      <c r="M78" s="836">
        <f t="shared" si="28"/>
        <v>3067405.1292542205</v>
      </c>
      <c r="N78" s="836">
        <f t="shared" si="28"/>
        <v>2218354.1044738842</v>
      </c>
      <c r="O78" s="836">
        <f t="shared" si="28"/>
        <v>2106680.0881784153</v>
      </c>
      <c r="P78" s="836">
        <f t="shared" si="28"/>
        <v>1995006.0718829464</v>
      </c>
      <c r="Q78" s="836">
        <f t="shared" si="28"/>
        <v>1956907.2936069358</v>
      </c>
      <c r="R78" s="837">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35">
        <f t="shared" si="28"/>
        <v>2046079.6933285356</v>
      </c>
      <c r="L79" s="836">
        <f t="shared" si="28"/>
        <v>2108333.6144666532</v>
      </c>
      <c r="M79" s="836">
        <f t="shared" si="28"/>
        <v>2105849.3538714363</v>
      </c>
      <c r="N79" s="836">
        <f t="shared" si="28"/>
        <v>2103365.0932762185</v>
      </c>
      <c r="O79" s="836">
        <f t="shared" si="28"/>
        <v>2118312.1801417214</v>
      </c>
      <c r="P79" s="836">
        <f t="shared" si="28"/>
        <v>2133259.2670072243</v>
      </c>
      <c r="Q79" s="836">
        <f t="shared" si="28"/>
        <v>2142083.1737169772</v>
      </c>
      <c r="R79" s="837">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35">
        <f t="shared" si="28"/>
        <v>1933800.165050887</v>
      </c>
      <c r="L80" s="836">
        <f t="shared" si="28"/>
        <v>2005955.6428487513</v>
      </c>
      <c r="M80" s="836">
        <f t="shared" si="28"/>
        <v>2000166.9362324402</v>
      </c>
      <c r="N80" s="836">
        <f t="shared" si="28"/>
        <v>1994378.2296161293</v>
      </c>
      <c r="O80" s="836">
        <f t="shared" si="28"/>
        <v>2009358.1927547844</v>
      </c>
      <c r="P80" s="836">
        <f t="shared" si="28"/>
        <v>2024338.1558934394</v>
      </c>
      <c r="Q80" s="836">
        <f t="shared" si="28"/>
        <v>2033149.3307904822</v>
      </c>
      <c r="R80" s="837">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42"/>
      <c r="R81" s="843"/>
      <c r="T81" s="348"/>
      <c r="U81" s="348"/>
      <c r="V81" s="348"/>
      <c r="W81" s="348"/>
      <c r="X81" s="348"/>
      <c r="Y81" s="348"/>
      <c r="Z81" s="348"/>
    </row>
    <row r="82" spans="1:33" x14ac:dyDescent="0.2">
      <c r="A82" s="340" t="str">
        <f t="shared" si="27"/>
        <v>Articulated Truck</v>
      </c>
      <c r="B82" s="416" t="s">
        <v>832</v>
      </c>
      <c r="C82" s="377" t="s">
        <v>831</v>
      </c>
      <c r="D82" s="376">
        <v>0.08</v>
      </c>
      <c r="E82" s="375"/>
      <c r="K82" s="842"/>
      <c r="R82" s="843"/>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40">
        <f>C83</f>
        <v>2010</v>
      </c>
      <c r="L83" s="371">
        <f>D83</f>
        <v>2020</v>
      </c>
      <c r="M83" s="371"/>
      <c r="N83" s="371">
        <f>F83</f>
        <v>2030</v>
      </c>
      <c r="O83" s="371"/>
      <c r="P83" s="371">
        <f>H83</f>
        <v>2040</v>
      </c>
      <c r="Q83" s="371"/>
      <c r="R83" s="841">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42" t="str">
        <f>zar.base&amp;"ZAR"</f>
        <v>2015ZAR</v>
      </c>
      <c r="L84" s="340" t="str">
        <f>zar.base&amp;"ZAR"</f>
        <v>2015ZAR</v>
      </c>
      <c r="N84" s="340" t="str">
        <f>zar.base&amp;"ZAR"</f>
        <v>2015ZAR</v>
      </c>
      <c r="P84" s="340" t="str">
        <f>zar.base&amp;"ZAR"</f>
        <v>2015ZAR</v>
      </c>
      <c r="R84" s="843"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35">
        <f t="shared" ref="K85:R92" si="31">C85*$B$2*$K$3</f>
        <v>1137344.8503307651</v>
      </c>
      <c r="L85" s="836">
        <f t="shared" si="31"/>
        <v>1383611.7088645061</v>
      </c>
      <c r="M85" s="836">
        <f t="shared" si="31"/>
        <v>1421742.7272348688</v>
      </c>
      <c r="N85" s="836">
        <f t="shared" si="31"/>
        <v>1459873.7456052315</v>
      </c>
      <c r="O85" s="836">
        <f t="shared" si="31"/>
        <v>1490827.5195919413</v>
      </c>
      <c r="P85" s="836">
        <f t="shared" si="31"/>
        <v>1521781.2935786508</v>
      </c>
      <c r="Q85" s="836">
        <f t="shared" si="31"/>
        <v>1550292.485324691</v>
      </c>
      <c r="R85" s="837">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35">
        <f t="shared" si="31"/>
        <v>1346309.0076455197</v>
      </c>
      <c r="L86" s="836">
        <f t="shared" si="31"/>
        <v>1554634.2240061136</v>
      </c>
      <c r="M86" s="836">
        <f t="shared" si="31"/>
        <v>1564774.0762279797</v>
      </c>
      <c r="N86" s="836">
        <f t="shared" si="31"/>
        <v>1574913.9284498463</v>
      </c>
      <c r="O86" s="836">
        <f t="shared" si="31"/>
        <v>1591873.0744862277</v>
      </c>
      <c r="P86" s="836">
        <f t="shared" si="31"/>
        <v>1608832.2205226088</v>
      </c>
      <c r="Q86" s="836">
        <f t="shared" si="31"/>
        <v>1628335.4060461875</v>
      </c>
      <c r="R86" s="837">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35">
        <f t="shared" si="31"/>
        <v>1342249.3600168284</v>
      </c>
      <c r="L87" s="836">
        <f t="shared" si="31"/>
        <v>1491260.0402134496</v>
      </c>
      <c r="M87" s="836">
        <f t="shared" si="31"/>
        <v>1513798.9961644816</v>
      </c>
      <c r="N87" s="836">
        <f t="shared" si="31"/>
        <v>1536337.9521155139</v>
      </c>
      <c r="O87" s="836">
        <f t="shared" si="31"/>
        <v>1582717.2948413345</v>
      </c>
      <c r="P87" s="836">
        <f t="shared" si="31"/>
        <v>1629096.6375671551</v>
      </c>
      <c r="Q87" s="836">
        <f t="shared" si="31"/>
        <v>1680935.4116440627</v>
      </c>
      <c r="R87" s="837">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35">
        <f t="shared" si="31"/>
        <v>1413868.2874237234</v>
      </c>
      <c r="L88" s="836">
        <f t="shared" si="31"/>
        <v>1502505.4928576599</v>
      </c>
      <c r="M88" s="836">
        <f t="shared" si="31"/>
        <v>1511523.7795690347</v>
      </c>
      <c r="N88" s="836">
        <f t="shared" si="31"/>
        <v>1520542.066280409</v>
      </c>
      <c r="O88" s="836">
        <f t="shared" si="31"/>
        <v>1555267.1003705533</v>
      </c>
      <c r="P88" s="836">
        <f t="shared" si="31"/>
        <v>1589992.1344606976</v>
      </c>
      <c r="Q88" s="836">
        <f t="shared" si="31"/>
        <v>1635802.1933410501</v>
      </c>
      <c r="R88" s="837">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35">
        <f t="shared" si="31"/>
        <v>0</v>
      </c>
      <c r="L89" s="836">
        <f t="shared" si="31"/>
        <v>0</v>
      </c>
      <c r="M89" s="836">
        <f t="shared" si="31"/>
        <v>0</v>
      </c>
      <c r="N89" s="836">
        <f t="shared" si="31"/>
        <v>0</v>
      </c>
      <c r="O89" s="836">
        <f t="shared" si="31"/>
        <v>0</v>
      </c>
      <c r="P89" s="836">
        <f t="shared" si="31"/>
        <v>0</v>
      </c>
      <c r="Q89" s="836">
        <f t="shared" si="31"/>
        <v>0</v>
      </c>
      <c r="R89" s="837">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35">
        <f t="shared" si="31"/>
        <v>6360106.1214327365</v>
      </c>
      <c r="L90" s="836">
        <f t="shared" si="31"/>
        <v>2830881.8939991225</v>
      </c>
      <c r="M90" s="836">
        <f t="shared" si="31"/>
        <v>2272344.3366048341</v>
      </c>
      <c r="N90" s="836">
        <f t="shared" si="31"/>
        <v>1713806.7792105449</v>
      </c>
      <c r="O90" s="836">
        <f t="shared" si="31"/>
        <v>1666904.5825543196</v>
      </c>
      <c r="P90" s="836">
        <f t="shared" si="31"/>
        <v>1620002.3858980946</v>
      </c>
      <c r="Q90" s="836">
        <f t="shared" si="31"/>
        <v>1632911.0815388313</v>
      </c>
      <c r="R90" s="837">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35">
        <f t="shared" si="31"/>
        <v>1695854.156363609</v>
      </c>
      <c r="L91" s="836">
        <f t="shared" si="31"/>
        <v>1732356.5987769766</v>
      </c>
      <c r="M91" s="836">
        <f t="shared" si="31"/>
        <v>1736897.2929585287</v>
      </c>
      <c r="N91" s="836">
        <f t="shared" si="31"/>
        <v>1741437.9871400804</v>
      </c>
      <c r="O91" s="836">
        <f t="shared" si="31"/>
        <v>1754044.2259131225</v>
      </c>
      <c r="P91" s="836">
        <f t="shared" si="31"/>
        <v>1766650.4646861646</v>
      </c>
      <c r="Q91" s="836">
        <f t="shared" si="31"/>
        <v>1783125.9660776728</v>
      </c>
      <c r="R91" s="837">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35">
        <f t="shared" si="31"/>
        <v>1624779.2570494437</v>
      </c>
      <c r="L92" s="836">
        <f t="shared" si="31"/>
        <v>1664860.6987788989</v>
      </c>
      <c r="M92" s="836">
        <f t="shared" si="31"/>
        <v>1668630.0219125191</v>
      </c>
      <c r="N92" s="836">
        <f t="shared" si="31"/>
        <v>1672399.3450461391</v>
      </c>
      <c r="O92" s="836">
        <f t="shared" si="31"/>
        <v>1685256.2227432285</v>
      </c>
      <c r="P92" s="836">
        <f t="shared" si="31"/>
        <v>1698113.1004403182</v>
      </c>
      <c r="Q92" s="836">
        <f t="shared" si="31"/>
        <v>1714703.5720855389</v>
      </c>
      <c r="R92" s="837">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42"/>
      <c r="R93" s="843"/>
    </row>
    <row r="94" spans="1:33" x14ac:dyDescent="0.2">
      <c r="A94" s="340" t="str">
        <f t="shared" si="30"/>
        <v>Construction Truck</v>
      </c>
      <c r="B94" s="378" t="s">
        <v>832</v>
      </c>
      <c r="C94" s="377" t="s">
        <v>831</v>
      </c>
      <c r="D94" s="376">
        <v>0.08</v>
      </c>
      <c r="E94" s="375"/>
      <c r="K94" s="842"/>
      <c r="R94" s="843"/>
      <c r="AB94" s="374" t="s">
        <v>816</v>
      </c>
    </row>
    <row r="95" spans="1:33" x14ac:dyDescent="0.2">
      <c r="A95" s="340" t="str">
        <f>B95</f>
        <v>Bus</v>
      </c>
      <c r="B95" s="373" t="s">
        <v>60</v>
      </c>
      <c r="C95" s="369">
        <v>2010</v>
      </c>
      <c r="D95" s="369">
        <v>2020</v>
      </c>
      <c r="E95" s="372"/>
      <c r="F95" s="369">
        <v>2030</v>
      </c>
      <c r="G95" s="369"/>
      <c r="H95" s="369">
        <v>2040</v>
      </c>
      <c r="I95" s="369"/>
      <c r="J95" s="369">
        <v>2050</v>
      </c>
      <c r="K95" s="840">
        <f>C95</f>
        <v>2010</v>
      </c>
      <c r="L95" s="371">
        <f>D95</f>
        <v>2020</v>
      </c>
      <c r="M95" s="371"/>
      <c r="N95" s="371">
        <f>F95</f>
        <v>2030</v>
      </c>
      <c r="O95" s="371"/>
      <c r="P95" s="371">
        <f>H95</f>
        <v>2040</v>
      </c>
      <c r="Q95" s="371"/>
      <c r="R95" s="841">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42" t="str">
        <f>zar.base&amp;"ZAR"</f>
        <v>2015ZAR</v>
      </c>
      <c r="L96" s="340" t="str">
        <f>zar.base&amp;"ZAR"</f>
        <v>2015ZAR</v>
      </c>
      <c r="N96" s="340" t="str">
        <f>zar.base&amp;"ZAR"</f>
        <v>2015ZAR</v>
      </c>
      <c r="P96" s="340" t="str">
        <f>zar.base&amp;"ZAR"</f>
        <v>2015ZAR</v>
      </c>
      <c r="R96" s="843"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35">
        <f t="shared" ref="K97:R104" si="37">C97*$B$2*$K$3</f>
        <v>2374350.3925985522</v>
      </c>
      <c r="L97" s="836">
        <f t="shared" si="37"/>
        <v>2567125.8296431107</v>
      </c>
      <c r="M97" s="836">
        <f t="shared" si="37"/>
        <v>2615057.9469287945</v>
      </c>
      <c r="N97" s="836">
        <f t="shared" si="37"/>
        <v>2662990.0642144778</v>
      </c>
      <c r="O97" s="836">
        <f t="shared" si="37"/>
        <v>2693807.5488051251</v>
      </c>
      <c r="P97" s="836">
        <f t="shared" si="37"/>
        <v>2724625.0333957719</v>
      </c>
      <c r="Q97" s="836">
        <f t="shared" si="37"/>
        <v>2759805.6112657399</v>
      </c>
      <c r="R97" s="837">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35">
        <f t="shared" si="37"/>
        <v>2560421.0522702299</v>
      </c>
      <c r="L98" s="836">
        <f t="shared" si="37"/>
        <v>2720742.9699179786</v>
      </c>
      <c r="M98" s="836">
        <f t="shared" si="37"/>
        <v>2745447.8014628761</v>
      </c>
      <c r="N98" s="836">
        <f t="shared" si="37"/>
        <v>2770152.6330077737</v>
      </c>
      <c r="O98" s="836">
        <f t="shared" si="37"/>
        <v>2789432.1408442678</v>
      </c>
      <c r="P98" s="836">
        <f t="shared" si="37"/>
        <v>2808711.648680761</v>
      </c>
      <c r="Q98" s="836">
        <f t="shared" si="37"/>
        <v>2836383.7094969568</v>
      </c>
      <c r="R98" s="837">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35">
        <f t="shared" si="37"/>
        <v>2575439.5481723119</v>
      </c>
      <c r="L99" s="836">
        <f t="shared" si="37"/>
        <v>2670939.3077800749</v>
      </c>
      <c r="M99" s="836">
        <f t="shared" si="37"/>
        <v>2701135.5750137344</v>
      </c>
      <c r="N99" s="836">
        <f t="shared" si="37"/>
        <v>2731331.8422473934</v>
      </c>
      <c r="O99" s="836">
        <f t="shared" si="37"/>
        <v>2753508.3296443988</v>
      </c>
      <c r="P99" s="836">
        <f t="shared" si="37"/>
        <v>2775684.8170414036</v>
      </c>
      <c r="Q99" s="836">
        <f t="shared" si="37"/>
        <v>2805241.7779716766</v>
      </c>
      <c r="R99" s="837">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35">
        <f t="shared" si="37"/>
        <v>2641461.6254828833</v>
      </c>
      <c r="L100" s="836">
        <f t="shared" si="37"/>
        <v>2710157.9792400058</v>
      </c>
      <c r="M100" s="836">
        <f t="shared" si="37"/>
        <v>2720247.4357094248</v>
      </c>
      <c r="N100" s="836">
        <f t="shared" si="37"/>
        <v>2730336.8921788437</v>
      </c>
      <c r="O100" s="836">
        <f t="shared" si="37"/>
        <v>2741428.0124211079</v>
      </c>
      <c r="P100" s="836">
        <f t="shared" si="37"/>
        <v>2752519.1326633729</v>
      </c>
      <c r="Q100" s="836">
        <f t="shared" si="37"/>
        <v>2775952.6087589604</v>
      </c>
      <c r="R100" s="837">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35">
        <f t="shared" si="37"/>
        <v>4768239.6435325667</v>
      </c>
      <c r="L101" s="836">
        <f t="shared" si="37"/>
        <v>3635729.2317425008</v>
      </c>
      <c r="M101" s="836">
        <f t="shared" si="37"/>
        <v>3447769.0113726826</v>
      </c>
      <c r="N101" s="836">
        <f t="shared" si="37"/>
        <v>3259808.7910028636</v>
      </c>
      <c r="O101" s="836">
        <f t="shared" si="37"/>
        <v>3281975.7365715932</v>
      </c>
      <c r="P101" s="836">
        <f t="shared" si="37"/>
        <v>3304142.6821403229</v>
      </c>
      <c r="Q101" s="836">
        <f t="shared" si="37"/>
        <v>3325180.0884120665</v>
      </c>
      <c r="R101" s="837">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35">
        <f t="shared" si="37"/>
        <v>6296317.3270356311</v>
      </c>
      <c r="L102" s="836">
        <f t="shared" si="37"/>
        <v>3689559.6792311268</v>
      </c>
      <c r="M102" s="836">
        <f t="shared" si="37"/>
        <v>3288765.9792292048</v>
      </c>
      <c r="N102" s="836">
        <f t="shared" si="37"/>
        <v>2887972.2792272815</v>
      </c>
      <c r="O102" s="836">
        <f t="shared" si="37"/>
        <v>2842515.1832835502</v>
      </c>
      <c r="P102" s="836">
        <f t="shared" si="37"/>
        <v>2797058.087339818</v>
      </c>
      <c r="Q102" s="836">
        <f t="shared" si="37"/>
        <v>2791553.3982090442</v>
      </c>
      <c r="R102" s="837">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35">
        <f t="shared" si="37"/>
        <v>2695816.9798145522</v>
      </c>
      <c r="L103" s="836">
        <f t="shared" si="37"/>
        <v>2769263.9792806837</v>
      </c>
      <c r="M103" s="836">
        <f t="shared" si="37"/>
        <v>2798446.5773164597</v>
      </c>
      <c r="N103" s="836">
        <f t="shared" si="37"/>
        <v>2827629.1753522358</v>
      </c>
      <c r="O103" s="836">
        <f t="shared" si="37"/>
        <v>2850356.1751044323</v>
      </c>
      <c r="P103" s="836">
        <f t="shared" si="37"/>
        <v>2873083.1748566288</v>
      </c>
      <c r="Q103" s="836">
        <f t="shared" si="37"/>
        <v>2902681.9370413837</v>
      </c>
      <c r="R103" s="837">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35">
        <f t="shared" si="37"/>
        <v>2642700.4378444701</v>
      </c>
      <c r="L104" s="836">
        <f t="shared" si="37"/>
        <v>2721902.5560658015</v>
      </c>
      <c r="M104" s="836">
        <f t="shared" si="37"/>
        <v>2750502.7102799211</v>
      </c>
      <c r="N104" s="836">
        <f t="shared" si="37"/>
        <v>2779102.8644940415</v>
      </c>
      <c r="O104" s="836">
        <f t="shared" si="37"/>
        <v>2802275.2782397773</v>
      </c>
      <c r="P104" s="836">
        <f t="shared" si="37"/>
        <v>2825447.6919855122</v>
      </c>
      <c r="Q104" s="836">
        <f t="shared" si="37"/>
        <v>2855254.6164271832</v>
      </c>
      <c r="R104" s="837">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42"/>
      <c r="R105" s="843"/>
    </row>
    <row r="106" spans="1:33" ht="13.5" thickBot="1" x14ac:dyDescent="0.3">
      <c r="K106" s="846"/>
      <c r="L106" s="847"/>
      <c r="M106" s="847"/>
      <c r="N106" s="847"/>
      <c r="O106" s="847"/>
      <c r="P106" s="847"/>
      <c r="Q106" s="847"/>
      <c r="R106" s="848"/>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f>'AEA2012 update'!L3</f>
        <v>0</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877309.92599328468</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967" t="s">
        <v>991</v>
      </c>
      <c r="B9" s="969" t="s">
        <v>990</v>
      </c>
      <c r="C9" s="971" t="s">
        <v>941</v>
      </c>
      <c r="D9" s="971" t="s">
        <v>989</v>
      </c>
      <c r="E9" s="971" t="s">
        <v>988</v>
      </c>
      <c r="F9" s="973"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968"/>
      <c r="B10" s="970"/>
      <c r="C10" s="972"/>
      <c r="D10" s="972"/>
      <c r="E10" s="972"/>
      <c r="F10" s="974"/>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1.8323737387753767</v>
      </c>
      <c r="E88" s="543">
        <f>Analytica!AN66/Analytica!AN67</f>
        <v>1.7414415856596293</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Analytica</vt:lpstr>
      <vt:lpstr>EB_2017</vt:lpstr>
      <vt:lpstr>SOL</vt:lpstr>
      <vt:lpstr>AEA2012 update</vt:lpstr>
      <vt:lpstr>Vehicle data-proc2023</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 Merven</cp:lastModifiedBy>
  <dcterms:created xsi:type="dcterms:W3CDTF">2023-05-31T10:27:17Z</dcterms:created>
  <dcterms:modified xsi:type="dcterms:W3CDTF">2023-09-21T10:20:48Z</dcterms:modified>
</cp:coreProperties>
</file>