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1429D6CB-323D-497D-8E83-5E6F5463084E}" xr6:coauthVersionLast="47" xr6:coauthVersionMax="47" xr10:uidLastSave="{00000000-0000-0000-0000-000000000000}"/>
  <bookViews>
    <workbookView xWindow="-660" yWindow="-15600" windowWidth="26610" windowHeight="13740" tabRatio="749" firstSheet="2" activeTab="6"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7" i="67" l="1"/>
  <c r="E7" i="67"/>
  <c r="F7" i="67"/>
  <c r="G7" i="67"/>
  <c r="H7" i="67"/>
  <c r="I7" i="67"/>
  <c r="J7" i="67"/>
  <c r="C7" i="67"/>
  <c r="J11" i="22"/>
  <c r="E73" i="17"/>
  <c r="I86" i="75"/>
  <c r="I85" i="75"/>
  <c r="I81" i="75"/>
  <c r="I84" i="75" s="1"/>
  <c r="I73" i="75"/>
  <c r="I86" i="67"/>
  <c r="I107" i="67" s="1"/>
  <c r="J107" i="67" s="1"/>
  <c r="I85" i="67"/>
  <c r="I81" i="67"/>
  <c r="I82" i="67" s="1"/>
  <c r="J82" i="67" s="1"/>
  <c r="I73" i="67"/>
  <c r="J73" i="67" s="1"/>
  <c r="R110" i="67"/>
  <c r="I84" i="67"/>
  <c r="J84" i="67" s="1"/>
  <c r="I83" i="67"/>
  <c r="E73" i="67"/>
  <c r="I103" i="67"/>
  <c r="J103" i="67" s="1"/>
  <c r="J110" i="67"/>
  <c r="I102" i="67"/>
  <c r="J102" i="67" s="1"/>
  <c r="J85" i="67"/>
  <c r="J83"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82" i="75" l="1"/>
  <c r="J82" i="75" s="1"/>
  <c r="I83" i="75"/>
  <c r="J86" i="67"/>
  <c r="I71" i="67"/>
  <c r="J71" i="67" s="1"/>
  <c r="I106" i="67"/>
  <c r="J106" i="67" s="1"/>
  <c r="J105" i="67"/>
  <c r="I104" i="67"/>
  <c r="J104" i="67" s="1"/>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A63" i="67"/>
  <c r="A64" i="67"/>
  <c r="A65" i="67"/>
  <c r="A66" i="67"/>
  <c r="A97" i="67"/>
  <c r="B97"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AJ107" i="75"/>
  <c r="I107" i="75"/>
  <c r="J107" i="75" s="1"/>
  <c r="AJ106" i="75"/>
  <c r="AJ105" i="75"/>
  <c r="AJ104" i="75"/>
  <c r="AJ103" i="75"/>
  <c r="I102" i="75"/>
  <c r="J102" i="75" s="1"/>
  <c r="AJ99" i="75"/>
  <c r="AJ98" i="75"/>
  <c r="AJ97" i="75"/>
  <c r="AJ96" i="75"/>
  <c r="AJ95" i="75"/>
  <c r="AJ94" i="75"/>
  <c r="AJ93" i="75"/>
  <c r="E98" i="75"/>
  <c r="L91" i="75"/>
  <c r="AJ90" i="75"/>
  <c r="AJ89" i="75"/>
  <c r="E90" i="75"/>
  <c r="AJ86" i="75"/>
  <c r="J86" i="75"/>
  <c r="U85" i="75"/>
  <c r="V85" i="75" s="1"/>
  <c r="W85" i="75" s="1"/>
  <c r="X85" i="75" s="1"/>
  <c r="Y85" i="75" s="1"/>
  <c r="J85" i="75"/>
  <c r="AJ84" i="75"/>
  <c r="I106" i="75"/>
  <c r="J106" i="75" s="1"/>
  <c r="AJ83" i="75"/>
  <c r="AJ82" i="75"/>
  <c r="AJ81" i="75"/>
  <c r="J81" i="75"/>
  <c r="AJ78" i="75"/>
  <c r="AJ77" i="75"/>
  <c r="AJ76" i="75"/>
  <c r="Y74" i="75"/>
  <c r="X74" i="75"/>
  <c r="W74" i="75"/>
  <c r="V74" i="75"/>
  <c r="U74" i="75"/>
  <c r="T74"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M93" i="75" l="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Y98" i="75" l="1"/>
  <c r="X98" i="75"/>
  <c r="W98" i="75"/>
  <c r="V98" i="75"/>
  <c r="R99" i="75"/>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M108" i="75"/>
  <c r="L49" i="75" s="1"/>
  <c r="M49" i="75" s="1"/>
  <c r="R105" i="75"/>
  <c r="T105" i="75" s="1"/>
  <c r="R107" i="75"/>
  <c r="AC98" i="75"/>
  <c r="S98" i="75"/>
  <c r="B121" i="75"/>
  <c r="R118" i="75"/>
  <c r="R114" i="75"/>
  <c r="N108" i="75"/>
  <c r="AT50" i="75" s="1"/>
  <c r="R102" i="75"/>
  <c r="S102" i="75" s="1"/>
  <c r="T102" i="75" s="1"/>
  <c r="U102" i="75" s="1"/>
  <c r="V102" i="75" s="1"/>
  <c r="W102" i="75" s="1"/>
  <c r="X102" i="75" s="1"/>
  <c r="Y102" i="75" s="1"/>
  <c r="R104" i="75"/>
  <c r="R106" i="75"/>
  <c r="R97" i="75"/>
  <c r="R110" i="75"/>
  <c r="N91" i="75"/>
  <c r="AT48" i="75" s="1"/>
  <c r="M87" i="75"/>
  <c r="L46" i="75" s="1"/>
  <c r="M46" i="75" s="1"/>
  <c r="N81" i="75"/>
  <c r="R83" i="75" s="1"/>
  <c r="R113" i="75"/>
  <c r="N120" i="75"/>
  <c r="AT52" i="75" s="1"/>
  <c r="N100" i="75"/>
  <c r="AT49" i="75" s="1"/>
  <c r="R93" i="75"/>
  <c r="R103" i="75"/>
  <c r="R116" i="75"/>
  <c r="R115" i="75"/>
  <c r="N69" i="75"/>
  <c r="R70" i="75" s="1"/>
  <c r="M74" i="75"/>
  <c r="L44" i="75" s="1"/>
  <c r="M44" i="75" s="1"/>
  <c r="AL120" i="75"/>
  <c r="R76" i="75"/>
  <c r="N79" i="75"/>
  <c r="AT46" i="75" s="1"/>
  <c r="N61" i="75"/>
  <c r="M67" i="75"/>
  <c r="R96" i="75"/>
  <c r="R78" i="75"/>
  <c r="U77" i="75" l="1"/>
  <c r="S94" i="75"/>
  <c r="T94" i="75"/>
  <c r="U94" i="75"/>
  <c r="X94" i="75"/>
  <c r="Y94" i="75"/>
  <c r="V94" i="75"/>
  <c r="W94" i="75"/>
  <c r="T110" i="75"/>
  <c r="Y110" i="75"/>
  <c r="X110" i="75"/>
  <c r="W110" i="75"/>
  <c r="V110" i="75"/>
  <c r="U110" i="75"/>
  <c r="S107" i="75"/>
  <c r="Y107" i="75"/>
  <c r="X107" i="75"/>
  <c r="W107" i="75"/>
  <c r="V107" i="75"/>
  <c r="AC99" i="75"/>
  <c r="W99" i="75"/>
  <c r="Y99" i="75"/>
  <c r="V99" i="75"/>
  <c r="X99" i="75"/>
  <c r="U89" i="75"/>
  <c r="Y89" i="75"/>
  <c r="X89" i="75"/>
  <c r="W89" i="75"/>
  <c r="V89" i="75"/>
  <c r="T89" i="75"/>
  <c r="T77" i="75"/>
  <c r="R90" i="75"/>
  <c r="X77" i="75"/>
  <c r="S99" i="75"/>
  <c r="AC105" i="75"/>
  <c r="AF105" i="75" s="1"/>
  <c r="W105" i="75"/>
  <c r="S105" i="75"/>
  <c r="W77" i="75"/>
  <c r="Y77" i="75"/>
  <c r="AC77" i="75"/>
  <c r="AI77" i="75" s="1"/>
  <c r="X105" i="75"/>
  <c r="Y105" i="75"/>
  <c r="U95" i="75"/>
  <c r="Y95" i="75"/>
  <c r="V105" i="75"/>
  <c r="W95" i="75"/>
  <c r="AC95" i="75"/>
  <c r="T95" i="75"/>
  <c r="S95" i="75"/>
  <c r="X95" i="75"/>
  <c r="AC119" i="75"/>
  <c r="AG119" i="75" s="1"/>
  <c r="U105" i="75"/>
  <c r="S77" i="75"/>
  <c r="AC117" i="75"/>
  <c r="AF117" i="75" s="1"/>
  <c r="AC107" i="75"/>
  <c r="AC94" i="75"/>
  <c r="AI94" i="75" s="1"/>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S89" i="75"/>
  <c r="S78" i="75"/>
  <c r="T78" i="75" s="1"/>
  <c r="U78" i="75" s="1"/>
  <c r="V78" i="75" s="1"/>
  <c r="W78" i="75" s="1"/>
  <c r="X78" i="75" s="1"/>
  <c r="Y78" i="75" s="1"/>
  <c r="AC78" i="75"/>
  <c r="AC116" i="75"/>
  <c r="S116" i="75"/>
  <c r="T116" i="75" s="1"/>
  <c r="U116" i="75" s="1"/>
  <c r="V116" i="75" s="1"/>
  <c r="W116" i="75" s="1"/>
  <c r="X116" i="75" s="1"/>
  <c r="Y116" i="75" s="1"/>
  <c r="S110" i="75"/>
  <c r="AC110" i="75"/>
  <c r="AC104" i="75"/>
  <c r="X104" i="75"/>
  <c r="W104" i="75"/>
  <c r="T104" i="75"/>
  <c r="S104" i="75"/>
  <c r="V104" i="75"/>
  <c r="U104" i="75"/>
  <c r="Y104" i="75"/>
  <c r="V70" i="75"/>
  <c r="U70" i="75"/>
  <c r="T70" i="75"/>
  <c r="S70" i="75"/>
  <c r="AC70" i="75"/>
  <c r="X70" i="75"/>
  <c r="Y70" i="75"/>
  <c r="W70" i="75"/>
  <c r="L43" i="75"/>
  <c r="M43" i="75" s="1"/>
  <c r="R84" i="75"/>
  <c r="R85" i="75"/>
  <c r="AC97" i="75"/>
  <c r="S97" i="75"/>
  <c r="T97" i="75" s="1"/>
  <c r="U97" i="75" s="1"/>
  <c r="V97" i="75" s="1"/>
  <c r="W97" i="75" s="1"/>
  <c r="X97" i="75" s="1"/>
  <c r="Y97" i="75" s="1"/>
  <c r="V96" i="75"/>
  <c r="S96" i="75"/>
  <c r="AC96" i="75"/>
  <c r="Y96" i="75"/>
  <c r="U96" i="75"/>
  <c r="T96" i="75"/>
  <c r="X96" i="75"/>
  <c r="W96" i="75"/>
  <c r="N67" i="75"/>
  <c r="AT44" i="75" s="1"/>
  <c r="R61" i="75"/>
  <c r="R62" i="75"/>
  <c r="R65" i="75"/>
  <c r="R64" i="75"/>
  <c r="R66" i="75"/>
  <c r="R63" i="75"/>
  <c r="AH99" i="75"/>
  <c r="AF99" i="75"/>
  <c r="AI99" i="75"/>
  <c r="AG99" i="75"/>
  <c r="S114" i="75"/>
  <c r="T114" i="75" s="1"/>
  <c r="U114" i="75" s="1"/>
  <c r="V114" i="75" s="1"/>
  <c r="W114" i="75" s="1"/>
  <c r="X114" i="75" s="1"/>
  <c r="Y114" i="75" s="1"/>
  <c r="AC114" i="75"/>
  <c r="AH105" i="75"/>
  <c r="AG105" i="75"/>
  <c r="AC113" i="75"/>
  <c r="S113" i="75"/>
  <c r="AC118" i="75"/>
  <c r="S118" i="75"/>
  <c r="T118" i="75" s="1"/>
  <c r="U118" i="75" s="1"/>
  <c r="V118" i="75" s="1"/>
  <c r="W118" i="75" s="1"/>
  <c r="X118" i="75" s="1"/>
  <c r="Y118" i="75" s="1"/>
  <c r="AI98" i="75"/>
  <c r="AG98" i="75"/>
  <c r="AF98" i="75"/>
  <c r="AH98" i="75"/>
  <c r="W103" i="75"/>
  <c r="U103" i="75"/>
  <c r="T103" i="75"/>
  <c r="AC103" i="75"/>
  <c r="Y103" i="75"/>
  <c r="X103" i="75"/>
  <c r="V103" i="75"/>
  <c r="S103" i="75"/>
  <c r="N87" i="75"/>
  <c r="AT47" i="75" s="1"/>
  <c r="R81" i="75"/>
  <c r="R86" i="75"/>
  <c r="N74" i="75"/>
  <c r="AT45" i="75" s="1"/>
  <c r="R69" i="75"/>
  <c r="R72" i="75"/>
  <c r="R73" i="75"/>
  <c r="R71" i="75"/>
  <c r="X106" i="75"/>
  <c r="V106" i="75"/>
  <c r="U106" i="75"/>
  <c r="Y106" i="75"/>
  <c r="W106" i="75"/>
  <c r="T106" i="75"/>
  <c r="S106" i="75"/>
  <c r="AC106" i="75"/>
  <c r="R82" i="75"/>
  <c r="U90" i="75" l="1"/>
  <c r="T90" i="75"/>
  <c r="V90" i="75"/>
  <c r="W90" i="75"/>
  <c r="Y90" i="75"/>
  <c r="X90" i="75"/>
  <c r="AI105" i="75"/>
  <c r="AC90" i="75"/>
  <c r="AG90" i="75" s="1"/>
  <c r="T66" i="75"/>
  <c r="X66" i="75"/>
  <c r="U66" i="75"/>
  <c r="Y66" i="75"/>
  <c r="V66" i="75"/>
  <c r="W66" i="75"/>
  <c r="S90" i="75"/>
  <c r="Y73" i="75"/>
  <c r="X73" i="75"/>
  <c r="W73" i="75"/>
  <c r="V73" i="75"/>
  <c r="U73" i="75"/>
  <c r="T73" i="75"/>
  <c r="W65" i="75"/>
  <c r="V65" i="75"/>
  <c r="X65" i="75"/>
  <c r="T65" i="75"/>
  <c r="Y65" i="75"/>
  <c r="U65" i="75"/>
  <c r="Y86" i="75"/>
  <c r="X86" i="75"/>
  <c r="W86" i="75"/>
  <c r="V86" i="75"/>
  <c r="AF77" i="75"/>
  <c r="AH77" i="75"/>
  <c r="AG77" i="75"/>
  <c r="AG95" i="75"/>
  <c r="AH95" i="75"/>
  <c r="AF95" i="75"/>
  <c r="AG117" i="75"/>
  <c r="AI95" i="75"/>
  <c r="AF107" i="75"/>
  <c r="AG107" i="75"/>
  <c r="AH107" i="75"/>
  <c r="AI107" i="75"/>
  <c r="AH119" i="75"/>
  <c r="AI119" i="75"/>
  <c r="AJ119" i="75" s="1"/>
  <c r="AF119" i="75"/>
  <c r="AI117" i="75"/>
  <c r="AJ117" i="75" s="1"/>
  <c r="AH117" i="75"/>
  <c r="AG94" i="75"/>
  <c r="AH94" i="75"/>
  <c r="AF94" i="75"/>
  <c r="AI113" i="75"/>
  <c r="AJ113" i="75" s="1"/>
  <c r="AG113" i="75"/>
  <c r="AF113" i="75"/>
  <c r="AH113" i="75"/>
  <c r="S69" i="75"/>
  <c r="AC69" i="75"/>
  <c r="Y69" i="75"/>
  <c r="X69" i="75"/>
  <c r="W69" i="75"/>
  <c r="U69" i="75"/>
  <c r="T69" i="75"/>
  <c r="V69" i="75"/>
  <c r="AC66" i="75"/>
  <c r="S66" i="75"/>
  <c r="V82" i="75"/>
  <c r="S82" i="75"/>
  <c r="X82" i="75"/>
  <c r="Y82" i="75"/>
  <c r="W82" i="75"/>
  <c r="U82" i="75"/>
  <c r="T82" i="75"/>
  <c r="AC82" i="75"/>
  <c r="S64" i="75"/>
  <c r="AC64" i="75"/>
  <c r="Y64" i="75"/>
  <c r="X64" i="75"/>
  <c r="W64" i="75"/>
  <c r="U64" i="75"/>
  <c r="T64" i="75"/>
  <c r="V64" i="75"/>
  <c r="AH83" i="75"/>
  <c r="AG83" i="75"/>
  <c r="AI83" i="75"/>
  <c r="AF83" i="75"/>
  <c r="S65" i="75"/>
  <c r="AC65" i="75"/>
  <c r="AG115" i="75"/>
  <c r="AF115" i="75"/>
  <c r="AH115" i="75"/>
  <c r="AI115" i="75"/>
  <c r="AJ115" i="75" s="1"/>
  <c r="AC86" i="75"/>
  <c r="AH103" i="75"/>
  <c r="AF103" i="75"/>
  <c r="AG103" i="75"/>
  <c r="AI103" i="75"/>
  <c r="AI114" i="75"/>
  <c r="AJ114" i="75" s="1"/>
  <c r="AF114" i="75"/>
  <c r="AH114" i="75"/>
  <c r="AG114" i="75"/>
  <c r="U62" i="75"/>
  <c r="T62" i="75"/>
  <c r="S62" i="75"/>
  <c r="AC62" i="75"/>
  <c r="Y62" i="75"/>
  <c r="W62" i="75"/>
  <c r="X62" i="75"/>
  <c r="V62" i="75"/>
  <c r="AG70" i="75"/>
  <c r="AF70" i="75"/>
  <c r="AI70" i="75"/>
  <c r="AJ70" i="75"/>
  <c r="AH70" i="75"/>
  <c r="AI106" i="75"/>
  <c r="AG106" i="75"/>
  <c r="AF106" i="75"/>
  <c r="AH106"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I97" i="75"/>
  <c r="AH97" i="75"/>
  <c r="AG97" i="75"/>
  <c r="AF97" i="75"/>
  <c r="AI104" i="75"/>
  <c r="AH104" i="75"/>
  <c r="AG104" i="75"/>
  <c r="AF104" i="75"/>
  <c r="AF116" i="75"/>
  <c r="AI116" i="75"/>
  <c r="AJ116" i="75" s="1"/>
  <c r="AH116" i="75"/>
  <c r="AG116" i="75"/>
  <c r="AC73" i="75"/>
  <c r="S73" i="75"/>
  <c r="AC85" i="75"/>
  <c r="S85" i="75"/>
  <c r="AG78" i="75"/>
  <c r="AI78" i="75"/>
  <c r="AF78" i="75"/>
  <c r="AH78" i="75"/>
  <c r="AF93" i="75"/>
  <c r="AH93" i="75"/>
  <c r="AI93" i="75"/>
  <c r="AG93" i="75"/>
  <c r="AI76" i="75"/>
  <c r="AF76" i="75"/>
  <c r="AH76" i="75"/>
  <c r="AG76" i="75"/>
  <c r="W72" i="75"/>
  <c r="V72" i="75"/>
  <c r="U72" i="75"/>
  <c r="T72" i="75"/>
  <c r="S72" i="75"/>
  <c r="Y72" i="75"/>
  <c r="AC72" i="75"/>
  <c r="X72" i="75"/>
  <c r="AF118" i="75"/>
  <c r="AI118" i="75"/>
  <c r="AJ118" i="75" s="1"/>
  <c r="AH118" i="75"/>
  <c r="AG118" i="75"/>
  <c r="AG96" i="75"/>
  <c r="AF96" i="75"/>
  <c r="AI96" i="75"/>
  <c r="AH96" i="75"/>
  <c r="T84" i="75"/>
  <c r="AC84" i="75"/>
  <c r="Y84" i="75"/>
  <c r="V84" i="75"/>
  <c r="U84" i="75"/>
  <c r="W84" i="75"/>
  <c r="S84" i="75"/>
  <c r="X84" i="75"/>
  <c r="AH89" i="75"/>
  <c r="AG89" i="75"/>
  <c r="AI89" i="75"/>
  <c r="AF89" i="75"/>
  <c r="X63" i="75"/>
  <c r="W63" i="75"/>
  <c r="V63" i="75"/>
  <c r="U63" i="75"/>
  <c r="T63" i="75"/>
  <c r="AC63" i="75"/>
  <c r="Y63" i="75"/>
  <c r="S63" i="75"/>
  <c r="AD110" i="75"/>
  <c r="AI110" i="75"/>
  <c r="AF110" i="75"/>
  <c r="AE110" i="75"/>
  <c r="AH110" i="75"/>
  <c r="AG110" i="75"/>
  <c r="AH90" i="75" l="1"/>
  <c r="AI90" i="75"/>
  <c r="AF90" i="75"/>
  <c r="AG82" i="75"/>
  <c r="AI82" i="75"/>
  <c r="AH82" i="75"/>
  <c r="AF82" i="75"/>
  <c r="AJ73" i="75"/>
  <c r="AI73" i="75"/>
  <c r="AH73" i="75"/>
  <c r="AG73" i="75"/>
  <c r="AF73" i="75"/>
  <c r="Y87" i="75"/>
  <c r="V87" i="75"/>
  <c r="U87" i="75"/>
  <c r="S87" i="75"/>
  <c r="X87" i="75"/>
  <c r="W87" i="75"/>
  <c r="AC87" i="75"/>
  <c r="T87" i="75"/>
  <c r="AF72" i="75"/>
  <c r="AI72" i="75"/>
  <c r="AH72" i="75"/>
  <c r="AG72" i="75"/>
  <c r="AJ72" i="75"/>
  <c r="AF86" i="75"/>
  <c r="AH86" i="75"/>
  <c r="AI86" i="75"/>
  <c r="AG86" i="75"/>
  <c r="AI66" i="75"/>
  <c r="AH66" i="75"/>
  <c r="AG66" i="75"/>
  <c r="AF66" i="75"/>
  <c r="AJ66" i="75"/>
  <c r="AI63" i="75"/>
  <c r="AH63" i="75"/>
  <c r="AG63" i="75"/>
  <c r="AF63" i="75"/>
  <c r="AJ63" i="75"/>
  <c r="AJ61" i="75"/>
  <c r="AI61" i="75"/>
  <c r="AH61" i="75"/>
  <c r="AG61" i="75"/>
  <c r="AF61" i="75"/>
  <c r="AJ65" i="75"/>
  <c r="AI65" i="75"/>
  <c r="AH65" i="75"/>
  <c r="AG65" i="75"/>
  <c r="AF65" i="75"/>
  <c r="AJ71" i="75"/>
  <c r="AI71" i="75"/>
  <c r="AH71" i="75"/>
  <c r="AG71" i="75"/>
  <c r="AF71" i="75"/>
  <c r="AF62" i="75"/>
  <c r="AJ62" i="75"/>
  <c r="AH62" i="75"/>
  <c r="AI62" i="75"/>
  <c r="AG62" i="75"/>
  <c r="AG84" i="75"/>
  <c r="AF84" i="75"/>
  <c r="AI84" i="75"/>
  <c r="AH84" i="75"/>
  <c r="AI81" i="75"/>
  <c r="AF81" i="75"/>
  <c r="AH81" i="75"/>
  <c r="AG81" i="75"/>
  <c r="AJ64" i="75"/>
  <c r="AI64" i="75"/>
  <c r="AH64" i="75"/>
  <c r="AF64" i="75"/>
  <c r="AG64" i="75"/>
  <c r="AJ69" i="75"/>
  <c r="AI69" i="75"/>
  <c r="AH69" i="75"/>
  <c r="AF69" i="75"/>
  <c r="AG69"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I49" i="67"/>
  <c r="G47" i="67"/>
  <c r="C49" i="67"/>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117" i="67" l="1"/>
  <c r="B117" i="67"/>
  <c r="A118" i="67"/>
  <c r="B118" i="67"/>
  <c r="B119" i="67"/>
  <c r="A119" i="67"/>
  <c r="A94" i="67"/>
  <c r="B94" i="67"/>
  <c r="A114" i="67"/>
  <c r="B114" i="67"/>
  <c r="A85" i="67"/>
  <c r="B85" i="67"/>
  <c r="D5" i="68"/>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B63" i="67" s="1"/>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B65" i="67" s="1"/>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A86" i="67" l="1"/>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141" i="48" s="1"/>
  <c r="A141" i="48" s="1"/>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83" i="48"/>
  <c r="A83" i="48" s="1"/>
  <c r="D101" i="48"/>
  <c r="A101" i="48" s="1"/>
  <c r="D125" i="48"/>
  <c r="A125" i="48" s="1"/>
  <c r="J10" i="48"/>
  <c r="J11" i="48"/>
  <c r="J12" i="48"/>
  <c r="J13" i="48"/>
  <c r="J14" i="48"/>
  <c r="J15" i="48"/>
  <c r="J87" i="48" s="1"/>
  <c r="J16" i="48"/>
  <c r="J88" i="48" s="1"/>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J367" i="29" s="1"/>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J355" i="29" s="1"/>
  <c r="G175" i="29"/>
  <c r="G355" i="29" s="1"/>
  <c r="D175" i="29"/>
  <c r="D355" i="29" s="1"/>
  <c r="J174" i="29"/>
  <c r="J354" i="29" s="1"/>
  <c r="G174" i="29"/>
  <c r="G354" i="29" s="1"/>
  <c r="D174" i="29"/>
  <c r="D354" i="29" s="1"/>
  <c r="J173" i="29"/>
  <c r="J353" i="29" s="1"/>
  <c r="G173" i="29"/>
  <c r="G353" i="29" s="1"/>
  <c r="D173" i="29"/>
  <c r="D353" i="29" s="1"/>
  <c r="J172" i="29"/>
  <c r="J352" i="29" s="1"/>
  <c r="G172" i="29"/>
  <c r="G352" i="29" s="1"/>
  <c r="D172" i="29"/>
  <c r="D352" i="29" s="1"/>
  <c r="J171" i="29"/>
  <c r="J351" i="29" s="1"/>
  <c r="G171" i="29"/>
  <c r="G351" i="29" s="1"/>
  <c r="D171" i="29"/>
  <c r="D351" i="29" s="1"/>
  <c r="J170" i="29"/>
  <c r="J350" i="29" s="1"/>
  <c r="G170" i="29"/>
  <c r="G350" i="29" s="1"/>
  <c r="D170" i="29"/>
  <c r="D350" i="29" s="1"/>
  <c r="J169" i="29"/>
  <c r="J349" i="29" s="1"/>
  <c r="G169" i="29"/>
  <c r="G349" i="29" s="1"/>
  <c r="D169" i="29"/>
  <c r="D349" i="29" s="1"/>
  <c r="J168" i="29"/>
  <c r="J348" i="29" s="1"/>
  <c r="G168" i="29"/>
  <c r="G348" i="29" s="1"/>
  <c r="D168" i="29"/>
  <c r="D348" i="29" s="1"/>
  <c r="J167" i="29"/>
  <c r="J347" i="29" s="1"/>
  <c r="G167" i="29"/>
  <c r="G347" i="29" s="1"/>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D342" i="29" s="1"/>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D334" i="29" s="1"/>
  <c r="J153" i="29"/>
  <c r="J333" i="29" s="1"/>
  <c r="G153" i="29"/>
  <c r="G333" i="29" s="1"/>
  <c r="D153" i="29"/>
  <c r="D333" i="29" s="1"/>
  <c r="J152" i="29"/>
  <c r="J332" i="29" s="1"/>
  <c r="G152" i="29"/>
  <c r="G332" i="29" s="1"/>
  <c r="D152" i="29"/>
  <c r="D332" i="29" s="1"/>
  <c r="J151" i="29"/>
  <c r="J331" i="29" s="1"/>
  <c r="G151" i="29"/>
  <c r="G331" i="29" s="1"/>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D326" i="29" s="1"/>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D310" i="29" s="1"/>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G304" i="29" s="1"/>
  <c r="D124" i="29"/>
  <c r="D304" i="29" s="1"/>
  <c r="J123" i="29"/>
  <c r="J303" i="29" s="1"/>
  <c r="G123" i="29"/>
  <c r="G303" i="29" s="1"/>
  <c r="D123" i="29"/>
  <c r="D303" i="29" s="1"/>
  <c r="J122" i="29"/>
  <c r="J302" i="29" s="1"/>
  <c r="G122" i="29"/>
  <c r="G302" i="29" s="1"/>
  <c r="D122" i="29"/>
  <c r="D302" i="29" s="1"/>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D298" i="29" s="1"/>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D286" i="29" s="1"/>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D280" i="29" s="1"/>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D270" i="29" s="1"/>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G251" i="29" s="1"/>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D246" i="29" s="1"/>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D238" i="29" s="1"/>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G227" i="29" s="1"/>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A26" i="29" s="1"/>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A18" i="29" s="1"/>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D190" i="29" s="1"/>
  <c r="G81" i="48"/>
  <c r="G153" i="48" s="1"/>
  <c r="G80" i="48"/>
  <c r="G152" i="48" s="1"/>
  <c r="G79" i="48"/>
  <c r="G151" i="48" s="1"/>
  <c r="G78" i="48"/>
  <c r="G150" i="48" s="1"/>
  <c r="G77" i="48"/>
  <c r="G149" i="48" s="1"/>
  <c r="G76" i="48"/>
  <c r="G148" i="48" s="1"/>
  <c r="G75" i="48"/>
  <c r="G147" i="48" s="1"/>
  <c r="G74" i="48"/>
  <c r="G146" i="48" s="1"/>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130" i="48" s="1"/>
  <c r="G57" i="48"/>
  <c r="G129" i="48" s="1"/>
  <c r="G56" i="48"/>
  <c r="G128" i="48" s="1"/>
  <c r="G55" i="48"/>
  <c r="G127" i="48" s="1"/>
  <c r="G54" i="48"/>
  <c r="G126" i="48" s="1"/>
  <c r="G53" i="48"/>
  <c r="G125" i="48" s="1"/>
  <c r="G52" i="48"/>
  <c r="G124" i="48" s="1"/>
  <c r="G51" i="48"/>
  <c r="G123" i="48" s="1"/>
  <c r="G50" i="48"/>
  <c r="G122" i="48" s="1"/>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A53" i="48"/>
  <c r="G211" i="29"/>
  <c r="D278" i="29"/>
  <c r="D366" i="29"/>
  <c r="A77" i="35"/>
  <c r="D206" i="29" l="1"/>
  <c r="D198" i="29"/>
  <c r="A67" i="48"/>
  <c r="A75" i="48"/>
  <c r="D127" i="48"/>
  <c r="A127" i="48" s="1"/>
  <c r="A69" i="48"/>
  <c r="D126" i="48"/>
  <c r="A126" i="48" s="1"/>
  <c r="D109" i="48"/>
  <c r="A109" i="48" s="1"/>
  <c r="A70" i="48"/>
  <c r="D222" i="29"/>
  <c r="D214" i="29"/>
  <c r="D149" i="48"/>
  <c r="A149" i="48"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F61" i="41" s="1"/>
  <c r="D103" i="17"/>
  <c r="D105" i="17"/>
  <c r="D107" i="17"/>
  <c r="D70" i="17"/>
  <c r="D72" i="17"/>
  <c r="I81" i="12"/>
  <c r="L9" i="64"/>
  <c r="T9" i="64" s="1"/>
  <c r="H9" i="64"/>
  <c r="P9" i="64" s="1"/>
  <c r="D106" i="17"/>
  <c r="D102" i="17"/>
  <c r="D78" i="17"/>
  <c r="D73" i="17"/>
  <c r="B73" i="17" s="1"/>
  <c r="D69" i="17"/>
  <c r="J6" i="64"/>
  <c r="R6" i="64" s="1"/>
  <c r="J4" i="28"/>
  <c r="F114" i="17" s="1"/>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I52" i="32"/>
  <c r="B52" i="32"/>
  <c r="D52" i="32"/>
  <c r="B26" i="32"/>
  <c r="F26" i="32"/>
  <c r="C26" i="32"/>
  <c r="G26" i="32"/>
  <c r="E26" i="32"/>
  <c r="E10" i="35"/>
  <c r="E11" i="35"/>
  <c r="I19" i="32"/>
  <c r="F19" i="32"/>
  <c r="D19" i="32"/>
  <c r="H19" i="32"/>
  <c r="G19" i="32"/>
  <c r="E9" i="18"/>
  <c r="F9" i="18"/>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K50" i="64"/>
  <c r="S50" i="64" s="1"/>
  <c r="J51" i="64"/>
  <c r="R51" i="64" s="1"/>
  <c r="H48" i="64"/>
  <c r="P48" i="64" s="1"/>
  <c r="F52" i="64"/>
  <c r="N52" i="64" s="1"/>
  <c r="I48" i="64"/>
  <c r="Q48" i="64" s="1"/>
  <c r="G52" i="64"/>
  <c r="O52" i="64" s="1"/>
  <c r="E49" i="64"/>
  <c r="M49" i="64" s="1"/>
  <c r="E51" i="64"/>
  <c r="M51" i="64" s="1"/>
  <c r="I52" i="64"/>
  <c r="Q52"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J32" i="64"/>
  <c r="R32" i="64" s="1"/>
  <c r="I33" i="64"/>
  <c r="Q33" i="64" s="1"/>
  <c r="H34" i="64"/>
  <c r="P34" i="64" s="1"/>
  <c r="G35" i="64"/>
  <c r="O35" i="64" s="1"/>
  <c r="F36" i="64"/>
  <c r="N36" i="64" s="1"/>
  <c r="E37" i="64"/>
  <c r="M37" i="64" s="1"/>
  <c r="A32" i="35"/>
  <c r="A18" i="35"/>
  <c r="A45" i="35"/>
  <c r="A26" i="35"/>
  <c r="A22" i="35"/>
  <c r="A37" i="35"/>
  <c r="A53" i="35"/>
  <c r="A49" i="35"/>
  <c r="A67" i="35"/>
  <c r="A33" i="35"/>
  <c r="A28" i="35"/>
  <c r="A21" i="35"/>
  <c r="C77" i="35"/>
  <c r="A58" i="35"/>
  <c r="A83" i="35"/>
  <c r="A44" i="35"/>
  <c r="A46" i="35"/>
  <c r="A19" i="35"/>
  <c r="A69" i="35"/>
  <c r="A82" i="35"/>
  <c r="A78" i="35"/>
  <c r="A59" i="35"/>
  <c r="A20" i="35"/>
  <c r="A50" i="35"/>
  <c r="A85" i="35"/>
  <c r="A66" i="35"/>
  <c r="A31" i="35"/>
  <c r="A80" i="35"/>
  <c r="A55" i="35"/>
  <c r="A84" i="35"/>
  <c r="A27" i="35"/>
  <c r="A81" i="35"/>
  <c r="D77" i="35"/>
  <c r="A23" i="35"/>
  <c r="A39" i="35"/>
  <c r="A38" i="35"/>
  <c r="A25" i="35"/>
  <c r="A36" i="35"/>
  <c r="A75" i="35"/>
  <c r="A70" i="35"/>
  <c r="A24" i="35"/>
  <c r="A52" i="35"/>
  <c r="A79" i="35"/>
  <c r="A76" i="35"/>
  <c r="A71" i="35"/>
  <c r="F118" i="41" l="1"/>
  <c r="H118" i="41" s="1"/>
  <c r="F61" i="17"/>
  <c r="F63" i="17"/>
  <c r="F65" i="17"/>
  <c r="F64" i="41"/>
  <c r="F66" i="41"/>
  <c r="F114" i="41"/>
  <c r="J56" i="64"/>
  <c r="R56" i="64" s="1"/>
  <c r="L56" i="64"/>
  <c r="T56" i="64" s="1"/>
  <c r="E55" i="64"/>
  <c r="M55" i="64" s="1"/>
  <c r="J53" i="64"/>
  <c r="R53" i="64" s="1"/>
  <c r="E57" i="64"/>
  <c r="M57" i="64" s="1"/>
  <c r="I53" i="64"/>
  <c r="Q53" i="64" s="1"/>
  <c r="G88" i="64"/>
  <c r="O88" i="64" s="1"/>
  <c r="J55" i="64"/>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L55" i="64"/>
  <c r="T55" i="64" s="1"/>
  <c r="K55" i="64"/>
  <c r="S55" i="64" s="1"/>
  <c r="I54" i="64"/>
  <c r="Q54" i="64" s="1"/>
  <c r="F54" i="64"/>
  <c r="N54" i="64" s="1"/>
  <c r="E56" i="64"/>
  <c r="M56" i="64" s="1"/>
  <c r="H56" i="64"/>
  <c r="P56" i="64" s="1"/>
  <c r="L53" i="64"/>
  <c r="T53" i="64" s="1"/>
  <c r="G54" i="64"/>
  <c r="O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F85" i="75"/>
  <c r="H85" i="75" s="1"/>
  <c r="F81" i="75"/>
  <c r="H81" i="75" s="1"/>
  <c r="F83" i="75"/>
  <c r="H83" i="75" s="1"/>
  <c r="F78" i="75"/>
  <c r="H78" i="75" s="1"/>
  <c r="F77" i="75"/>
  <c r="H77" i="75" s="1"/>
  <c r="F76" i="75"/>
  <c r="H76" i="75" s="1"/>
  <c r="F95" i="17"/>
  <c r="F95" i="75"/>
  <c r="H95" i="75" s="1"/>
  <c r="F97" i="75"/>
  <c r="H97" i="75" s="1"/>
  <c r="F94" i="75"/>
  <c r="H94" i="75" s="1"/>
  <c r="F93" i="75"/>
  <c r="H93" i="75" s="1"/>
  <c r="F99" i="75"/>
  <c r="F96" i="75"/>
  <c r="H96" i="75" s="1"/>
  <c r="F98" i="75"/>
  <c r="F73" i="75"/>
  <c r="F69" i="75"/>
  <c r="H69" i="75" s="1"/>
  <c r="F72" i="75"/>
  <c r="F71" i="75"/>
  <c r="H71" i="75" s="1"/>
  <c r="F70" i="75"/>
  <c r="H70" i="75" s="1"/>
  <c r="F103" i="41"/>
  <c r="F106" i="75"/>
  <c r="H106" i="75" s="1"/>
  <c r="F103" i="75"/>
  <c r="H103" i="75" s="1"/>
  <c r="F105" i="75"/>
  <c r="H105" i="75" s="1"/>
  <c r="F104" i="75"/>
  <c r="H104" i="75" s="1"/>
  <c r="F102" i="75"/>
  <c r="H102" i="75" s="1"/>
  <c r="F107" i="75"/>
  <c r="B22" i="57"/>
  <c r="A22" i="57"/>
  <c r="B94" i="17"/>
  <c r="A96" i="17"/>
  <c r="A116" i="17"/>
  <c r="F93" i="17"/>
  <c r="F64" i="17"/>
  <c r="B78" i="17"/>
  <c r="B113" i="41"/>
  <c r="L49" i="64"/>
  <c r="T49" i="64" s="1"/>
  <c r="AB49" i="64" s="1"/>
  <c r="I87" i="64"/>
  <c r="Q87" i="64" s="1"/>
  <c r="E54" i="64"/>
  <c r="M54" i="64" s="1"/>
  <c r="E59" i="64"/>
  <c r="M59" i="64" s="1"/>
  <c r="I57" i="64"/>
  <c r="Q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W17" i="64"/>
  <c r="AB17" i="64"/>
  <c r="Y17" i="64"/>
  <c r="U17" i="64"/>
  <c r="X17" i="64"/>
  <c r="V17" i="64"/>
  <c r="AA17" i="64"/>
  <c r="W41" i="64"/>
  <c r="Z32" i="64"/>
  <c r="X42" i="64"/>
  <c r="AA42" i="64"/>
  <c r="Z42" i="64"/>
  <c r="Y42" i="64"/>
  <c r="AB42" i="64"/>
  <c r="Z40" i="64"/>
  <c r="AA40" i="64"/>
  <c r="X40" i="64"/>
  <c r="AB40" i="64"/>
  <c r="U15" i="64"/>
  <c r="AB39" i="64"/>
  <c r="Y40" i="64"/>
  <c r="AB15" i="64"/>
  <c r="Z17" i="64"/>
  <c r="AA39" i="64"/>
  <c r="U39" i="64"/>
  <c r="X39" i="64"/>
  <c r="U42" i="64"/>
  <c r="Y15" i="64"/>
  <c r="X15" i="64"/>
  <c r="V15" i="64"/>
  <c r="Z15" i="64"/>
  <c r="V32" i="64"/>
  <c r="Y32" i="64"/>
  <c r="W32" i="64"/>
  <c r="AB32" i="64"/>
  <c r="X52" i="64"/>
  <c r="V36" i="64"/>
  <c r="Y36" i="64"/>
  <c r="AA36" i="64"/>
  <c r="Z36" i="64"/>
  <c r="AB36" i="64"/>
  <c r="X36" i="64"/>
  <c r="AB11" i="64"/>
  <c r="Y11" i="64"/>
  <c r="U11" i="64"/>
  <c r="Z11" i="64"/>
  <c r="AA11" i="64"/>
  <c r="W11" i="64"/>
  <c r="X11" i="64"/>
  <c r="W52"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Z38" i="64"/>
  <c r="U19" i="64"/>
  <c r="AB37" i="64"/>
  <c r="I29" i="19"/>
  <c r="V45" i="64"/>
  <c r="AA45" i="64"/>
  <c r="U45" i="64"/>
  <c r="Z45" i="64"/>
  <c r="V52" i="64"/>
  <c r="AA52" i="64"/>
  <c r="W45" i="64"/>
  <c r="Y19" i="64"/>
  <c r="X34" i="64"/>
  <c r="Z34" i="64"/>
  <c r="Z52" i="64"/>
  <c r="V44" i="64"/>
  <c r="W44" i="64"/>
  <c r="X44" i="64"/>
  <c r="U52" i="64"/>
  <c r="AB44" i="64"/>
  <c r="V34" i="64"/>
  <c r="Y35" i="64"/>
  <c r="A65" i="35"/>
  <c r="C21" i="35"/>
  <c r="D71" i="35"/>
  <c r="C19" i="35"/>
  <c r="A56" i="35"/>
  <c r="A48" i="35"/>
  <c r="D21" i="35"/>
  <c r="D28" i="35"/>
  <c r="D44" i="35"/>
  <c r="D22" i="35"/>
  <c r="C75" i="35"/>
  <c r="D52" i="35"/>
  <c r="A34" i="35"/>
  <c r="A43" i="35"/>
  <c r="D39" i="35"/>
  <c r="C71" i="35"/>
  <c r="A61" i="35"/>
  <c r="D36" i="35"/>
  <c r="A47" i="35"/>
  <c r="D75" i="35"/>
  <c r="A40" i="35"/>
  <c r="A74" i="35"/>
  <c r="A72" i="35"/>
  <c r="C24" i="35"/>
  <c r="C36" i="35"/>
  <c r="C20" i="35"/>
  <c r="A73" i="35"/>
  <c r="A57" i="35"/>
  <c r="A64" i="35"/>
  <c r="A30" i="35"/>
  <c r="C39" i="35"/>
  <c r="A41" i="35"/>
  <c r="A63" i="35"/>
  <c r="D53" i="35"/>
  <c r="C55" i="35"/>
  <c r="C23" i="35"/>
  <c r="D24" i="35"/>
  <c r="C44" i="35"/>
  <c r="C28" i="35"/>
  <c r="A62" i="35"/>
  <c r="A51" i="35"/>
  <c r="D23" i="35"/>
  <c r="C76" i="35"/>
  <c r="A68" i="35"/>
  <c r="D76" i="35"/>
  <c r="C27" i="35"/>
  <c r="D19" i="35"/>
  <c r="D55" i="35"/>
  <c r="C31" i="35"/>
  <c r="C53" i="35"/>
  <c r="D20" i="35"/>
  <c r="A29" i="35"/>
  <c r="D31" i="35"/>
  <c r="A54" i="35"/>
  <c r="C22" i="35"/>
  <c r="D27" i="35"/>
  <c r="A35" i="35"/>
  <c r="C52" i="35"/>
  <c r="A60" i="35"/>
  <c r="A42" i="35"/>
  <c r="AB53" i="64" l="1"/>
  <c r="AA53" i="64"/>
  <c r="Y53" i="64"/>
  <c r="X53" i="64"/>
  <c r="U53" i="64"/>
  <c r="W53" i="64"/>
  <c r="V53" i="64"/>
  <c r="Z53" i="64"/>
  <c r="X88" i="64"/>
  <c r="V57" i="64"/>
  <c r="AA49" i="64"/>
  <c r="V49" i="64"/>
  <c r="W49" i="64"/>
  <c r="Z49" i="64"/>
  <c r="X49" i="64"/>
  <c r="AA88" i="64"/>
  <c r="X54" i="64"/>
  <c r="Y49" i="64"/>
  <c r="U49" i="64"/>
  <c r="AB88" i="64"/>
  <c r="Z55" i="64"/>
  <c r="V54" i="64"/>
  <c r="W57" i="64"/>
  <c r="Y54" i="64"/>
  <c r="Y68" i="64"/>
  <c r="AB56" i="64"/>
  <c r="AA55" i="64"/>
  <c r="Z54" i="64"/>
  <c r="W54" i="64"/>
  <c r="AA54" i="64"/>
  <c r="U54" i="64"/>
  <c r="AB54" i="64"/>
  <c r="B12" i="30"/>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2" i="64"/>
  <c r="AD43" i="64"/>
  <c r="AD13" i="64"/>
  <c r="AD15" i="64"/>
  <c r="AD53" i="64"/>
  <c r="AD37" i="64"/>
  <c r="AD17" i="64"/>
  <c r="AD41" i="64"/>
  <c r="C54" i="35"/>
  <c r="D30" i="35"/>
  <c r="D57" i="35"/>
  <c r="C51" i="35"/>
  <c r="D35" i="35"/>
  <c r="C65" i="35"/>
  <c r="C47" i="35"/>
  <c r="D41" i="35"/>
  <c r="C40" i="35"/>
  <c r="D73" i="35"/>
  <c r="C62" i="35"/>
  <c r="D56" i="35"/>
  <c r="D43" i="35"/>
  <c r="D34" i="35"/>
  <c r="D51" i="35"/>
  <c r="D61" i="35"/>
  <c r="D54" i="35"/>
  <c r="C34" i="35"/>
  <c r="D72" i="35"/>
  <c r="C63" i="35"/>
  <c r="C48" i="35"/>
  <c r="D60" i="35"/>
  <c r="D47" i="35"/>
  <c r="C35" i="35"/>
  <c r="D48" i="35"/>
  <c r="C61" i="35"/>
  <c r="C41" i="35"/>
  <c r="C29" i="35"/>
  <c r="D63" i="35"/>
  <c r="C74" i="35"/>
  <c r="D65" i="35"/>
  <c r="C68" i="35"/>
  <c r="C56" i="35"/>
  <c r="C60" i="35"/>
  <c r="C57" i="35"/>
  <c r="C42" i="35"/>
  <c r="D68" i="35"/>
  <c r="D62" i="35"/>
  <c r="C64" i="35"/>
  <c r="D74" i="35"/>
  <c r="C30" i="35"/>
  <c r="C73" i="35"/>
  <c r="D40" i="35"/>
  <c r="D64" i="35"/>
  <c r="C43" i="35"/>
  <c r="D42" i="35"/>
  <c r="C72" i="35"/>
  <c r="D29" i="35"/>
  <c r="AD49" i="64" l="1"/>
  <c r="AD54" i="64"/>
  <c r="AD55" i="64"/>
  <c r="AD85" i="64"/>
  <c r="I64" i="67"/>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J94" i="75" s="1"/>
  <c r="I93" i="75"/>
  <c r="I89" i="75"/>
  <c r="I115" i="75"/>
  <c r="I118" i="75"/>
  <c r="I117" i="75"/>
  <c r="I119" i="75"/>
  <c r="I95" i="75"/>
  <c r="I61" i="75"/>
  <c r="J61" i="75" s="1"/>
  <c r="I113" i="75"/>
  <c r="J113" i="75" s="1"/>
  <c r="I114" i="75"/>
  <c r="J114" i="75" s="1"/>
  <c r="I116" i="75"/>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6" i="75"/>
  <c r="J117" i="75"/>
  <c r="J118" i="75"/>
  <c r="J119" i="75"/>
  <c r="J115"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Y118" i="67"/>
  <c r="X118" i="67"/>
  <c r="U118" i="67"/>
  <c r="T118" i="67"/>
  <c r="W118" i="67"/>
  <c r="S118" i="67"/>
  <c r="V118" i="67"/>
  <c r="AE104" i="66"/>
  <c r="AC55" i="32"/>
  <c r="AD55" i="32" s="1"/>
  <c r="AE55" i="32" s="1"/>
  <c r="AF55" i="32" s="1"/>
  <c r="Y115" i="67"/>
  <c r="T115" i="67"/>
  <c r="V115" i="67"/>
  <c r="W115" i="67"/>
  <c r="S115" i="67"/>
  <c r="U115" i="67"/>
  <c r="X115" i="67"/>
  <c r="X117" i="67"/>
  <c r="Y117" i="67"/>
  <c r="S117" i="67"/>
  <c r="T117" i="67"/>
  <c r="U117" i="67"/>
  <c r="V117" i="67"/>
  <c r="W117" i="67"/>
  <c r="AF104" i="66"/>
  <c r="X116" i="67"/>
  <c r="W116" i="67"/>
  <c r="U116" i="67"/>
  <c r="T116" i="67"/>
  <c r="Y116" i="67"/>
  <c r="S116" i="67"/>
  <c r="V116" i="67"/>
  <c r="AM100" i="17"/>
  <c r="AH104" i="66"/>
  <c r="AM120" i="17"/>
  <c r="T114" i="67"/>
  <c r="Y114" i="67"/>
  <c r="U114" i="67"/>
  <c r="V114" i="67"/>
  <c r="S114" i="67"/>
  <c r="X114" i="67"/>
  <c r="W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T119" i="67" s="1"/>
  <c r="U119" i="67" s="1"/>
  <c r="V119" i="67" s="1"/>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W119" i="6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X119" i="6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Y119" i="6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tc={FA8C7EB6-20C8-444F-BC99-F6CAA93330BF}</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K56" authorId="1" shapeId="0" xr:uid="{FA8C7EB6-20C8-444F-BC99-F6CAA93330BF}">
      <text>
        <t>[Threaded comment]
Your version of Excel allows you to read this threaded comment; however, any edits to it will get removed if the file is opened in a newer version of Excel. Learn more: https://go.microsoft.com/fwlink/?linkid=870924
Comment:
    Allowing any tech to be invested in until we do proper stock modelling.</t>
      </text>
    </comment>
    <comment ref="AV56" authorId="2"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2"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3"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4"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2"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2"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2"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5"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2"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6"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7"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8" shapeId="0" xr:uid="{F5103692-147B-4705-A00A-E13C7A5796F4}">
      <text>
        <r>
          <rPr>
            <b/>
            <sz val="9"/>
            <color indexed="81"/>
            <rFont val="Tahoma"/>
            <family val="2"/>
          </rPr>
          <t>Bryce McCall:</t>
        </r>
        <r>
          <rPr>
            <sz val="9"/>
            <color indexed="81"/>
            <rFont val="Tahoma"/>
            <family val="2"/>
          </rPr>
          <t xml:space="preserve">
from RES</t>
        </r>
      </text>
    </comment>
    <comment ref="J99" authorId="8" shapeId="0" xr:uid="{A6B39391-8487-4958-B9B3-F4CAF5C2E8D2}">
      <text>
        <r>
          <rPr>
            <b/>
            <sz val="9"/>
            <color indexed="81"/>
            <rFont val="Tahoma"/>
            <family val="2"/>
          </rPr>
          <t>Bryce McCall:</t>
        </r>
        <r>
          <rPr>
            <sz val="9"/>
            <color indexed="81"/>
            <rFont val="Tahoma"/>
            <family val="2"/>
          </rPr>
          <t xml:space="preserve">
Same assumption as RES</t>
        </r>
      </text>
    </comment>
    <comment ref="I110" authorId="8" shapeId="0" xr:uid="{30ABE3F6-7D32-4D7C-B56B-5F97F2734857}">
      <text>
        <r>
          <rPr>
            <b/>
            <sz val="9"/>
            <color indexed="81"/>
            <rFont val="Tahoma"/>
            <family val="2"/>
          </rPr>
          <t>Bryce McCall:</t>
        </r>
        <r>
          <rPr>
            <sz val="9"/>
            <color indexed="81"/>
            <rFont val="Tahoma"/>
            <family val="2"/>
          </rPr>
          <t xml:space="preserve">
Just a dummy data value.</t>
        </r>
      </text>
    </comment>
    <comment ref="AJ115" authorId="8" shapeId="0" xr:uid="{929090B3-E89C-4463-ABA5-F7BCA2925A0E}">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AE1BD138-56D9-4C26-8964-439A6195A1AC}">
      <text>
        <r>
          <rPr>
            <b/>
            <sz val="9"/>
            <color indexed="81"/>
            <rFont val="Tahoma"/>
            <family val="2"/>
          </rPr>
          <t>Admin:</t>
        </r>
        <r>
          <rPr>
            <sz val="9"/>
            <color indexed="81"/>
            <rFont val="Tahoma"/>
            <family val="2"/>
          </rPr>
          <t xml:space="preserve">
Set equal to new</t>
        </r>
      </text>
    </comment>
    <comment ref="I73" authorId="7"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 ref="J99" authorId="4" shapeId="0" xr:uid="{9897AFCF-85C4-4F73-8502-53923604DFB7}">
      <text>
        <r>
          <rPr>
            <b/>
            <sz val="9"/>
            <color indexed="81"/>
            <rFont val="Tahoma"/>
            <family val="2"/>
          </rPr>
          <t>Bryce McCall:</t>
        </r>
        <r>
          <rPr>
            <sz val="9"/>
            <color indexed="81"/>
            <rFont val="Tahoma"/>
            <family val="2"/>
          </rPr>
          <t xml:space="preserve">
Same assumption as RES</t>
        </r>
      </text>
    </comment>
    <comment ref="I110" authorId="4"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<sst xmlns="http://schemas.openxmlformats.org/spreadsheetml/2006/main" count="9413" uniqueCount="1678">
  <si>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</si>
  <si>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</si>
  <si>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</si>
  <si>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</si>
  <si>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</si>
  <si>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</si>
  <si>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</si>
  <si>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</si>
  <si>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</si>
  <si>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</si>
  <si>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</si>
  <si>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</si>
  <si>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</si>
  <si>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</si>
  <si>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</si>
  <si>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</si>
  <si>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</si>
  <si>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</si>
  <si>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</si>
  <si>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</si>
  <si>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</si>
  <si>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</si>
  <si>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</si>
  <si>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</si>
  <si>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</si>
  <si>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</si>
  <si>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</si>
  <si>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</si>
  <si>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</si>
  <si>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</si>
  <si>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</si>
  <si>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</si>
  <si>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</si>
  <si>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</si>
  <si>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</si>
  <si>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</si>
  <si>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</si>
  <si>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</si>
  <si>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</si>
  <si>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</si>
  <si>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</si>
  <si>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</si>
  <si>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</si>
  <si>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</si>
  <si>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</si>
  <si>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</si>
  <si>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</si>
  <si>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</si>
  <si>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</si>
  <si>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</si>
  <si>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</si>
  <si>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</si>
  <si>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</si>
  <si>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</si>
  <si>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</si>
  <si>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</si>
  <si>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</si>
  <si>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</si>
  <si>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</si>
  <si>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</si>
  <si>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</si>
  <si>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</si>
  <si>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</si>
  <si>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</si>
  <si>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</si>
  <si>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</si>
  <si>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</si>
  <si>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</si>
  <si>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</si>
  <si>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</si>
  <si>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</si>
  <si>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</si>
  <si>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</si>
  <si>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</si>
  <si>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</si>
  <si>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</si>
  <si>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</si>
  <si>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</si>
  <si>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</si>
  <si>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</si>
  <si>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</si>
  <si>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</si>
  <si>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</si>
  <si>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</si>
  <si>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</si>
  <si>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</si>
  <si>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</si>
  <si>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</si>
  <si>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</si>
  <si>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</si>
  <si>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</si>
  <si>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</si>
  <si>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</si>
  <si>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</si>
  <si>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</si>
  <si>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</si>
  <si>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</si>
  <si>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</si>
  <si>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</si>
  <si>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</si>
  <si>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</si>
  <si>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</si>
  <si>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</si>
  <si>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</si>
  <si>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</si>
  <si>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</si>
  <si>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</si>
  <si>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</si>
  <si>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</si>
  <si>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</si>
  <si>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</si>
  <si>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</si>
  <si>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</si>
  <si>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</si>
  <si>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</si>
  <si>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</si>
  <si>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</si>
  <si>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</si>
  <si>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</si>
  <si>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</si>
  <si>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</si>
  <si>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</si>
  <si>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</si>
  <si>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</si>
  <si>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</si>
  <si>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</si>
  <si>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</si>
  <si>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</si>
  <si>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</si>
  <si>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</si>
  <si>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</si>
  <si>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</si>
  <si>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</si>
  <si>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</si>
  <si>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</si>
  <si>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</si>
  <si>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</si>
  <si>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</si>
  <si>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</si>
  <si>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</si>
  <si>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</si>
  <si>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</si>
  <si>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</si>
  <si>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</si>
  <si>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</si>
  <si>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</si>
  <si>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</si>
  <si>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</si>
  <si>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</si>
  <si>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</si>
  <si>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</si>
  <si>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</si>
  <si>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</si>
  <si>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</si>
  <si>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</si>
  <si>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</si>
  <si>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</si>
  <si>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</si>
  <si>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</si>
  <si>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</si>
  <si>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</si>
  <si>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</si>
  <si>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</si>
  <si>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</si>
  <si>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</si>
  <si>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</si>
  <si>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</si>
  <si>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</si>
  <si>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</si>
  <si>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</si>
  <si>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</si>
  <si>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</si>
  <si>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</si>
  <si>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</si>
  <si>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</si>
  <si>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</si>
  <si>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</si>
  <si>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</si>
  <si>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</si>
  <si>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</si>
  <si>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</si>
  <si>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</si>
  <si>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</si>
  <si>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</si>
  <si>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</si>
  <si>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</si>
  <si>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</si>
  <si>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</si>
  <si>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</si>
  <si>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</si>
  <si>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</si>
  <si>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</si>
  <si>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</si>
  <si>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</si>
  <si>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</si>
  <si>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</si>
  <si>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</si>
  <si>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</si>
  <si>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</si>
  <si>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</si>
  <si>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</si>
  <si>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</si>
  <si>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</si>
  <si>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</si>
  <si>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</si>
  <si>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</si>
  <si>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</si>
  <si>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</si>
  <si>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</si>
  <si>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</si>
  <si>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</si>
  <si>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</si>
  <si>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</si>
  <si>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</si>
  <si>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</si>
  <si>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</si>
  <si>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</si>
  <si>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</si>
  <si>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</si>
  <si>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</si>
  <si>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</si>
  <si>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</si>
  <si>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</si>
  <si>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</si>
  <si>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</si>
  <si>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</si>
  <si>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</si>
  <si>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</si>
  <si>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</si>
  <si>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</si>
  <si>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</si>
  <si>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</si>
  <si>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</si>
  <si>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</si>
  <si>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</si>
  <si>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</si>
  <si>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</si>
  <si>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</si>
  <si>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</si>
  <si>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</si>
  <si>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</si>
  <si>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</si>
  <si>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</si>
  <si>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</si>
  <si>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</si>
  <si>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</si>
  <si>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</si>
  <si>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</si>
  <si>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</si>
  <si>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</si>
  <si>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</si>
  <si>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</si>
  <si>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</si>
  <si>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</si>
  <si>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</si>
  <si>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</si>
  <si>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</si>
  <si>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</si>
  <si>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</si>
  <si>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</si>
  <si>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</si>
  <si>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</si>
  <si>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</si>
  <si>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</si>
  <si>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</si>
  <si>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</si>
  <si>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</si>
  <si>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</si>
  <si>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</si>
  <si>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</si>
  <si>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</si>
  <si>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</si>
  <si>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</si>
  <si>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</si>
  <si>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</si>
  <si>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</si>
  <si>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</si>
  <si>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</si>
  <si>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</si>
  <si>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</si>
  <si>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</si>
  <si>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</si>
  <si>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</si>
  <si>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</si>
  <si>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</si>
  <si>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</si>
  <si>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</si>
  <si>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</si>
  <si>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</si>
  <si>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</si>
  <si>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</si>
  <si>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</si>
  <si>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</si>
  <si>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</si>
  <si>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</si>
  <si>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</si>
  <si>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</si>
  <si>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</si>
  <si>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</si>
  <si>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</si>
  <si>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</si>
  <si>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</si>
  <si>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</si>
  <si>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</si>
  <si>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</si>
  <si>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</si>
  <si>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</si>
  <si>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</si>
  <si>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</si>
  <si>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</si>
  <si>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</si>
  <si>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</si>
  <si>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</si>
  <si>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</si>
  <si>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</si>
  <si>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</si>
  <si>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</si>
  <si>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</si>
  <si>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</si>
  <si>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</si>
  <si>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</si>
  <si>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</si>
  <si>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</si>
  <si>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</si>
  <si>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</si>
  <si>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</si>
  <si>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</si>
  <si>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</si>
  <si>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</si>
  <si>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</si>
  <si>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</si>
  <si>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</si>
  <si>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</si>
  <si>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</si>
  <si>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</si>
  <si>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</si>
  <si>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</si>
  <si>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</si>
  <si>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</si>
  <si>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</si>
  <si>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</si>
  <si>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</si>
  <si>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</si>
  <si>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</si>
  <si>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</si>
  <si>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</si>
  <si>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</si>
  <si>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</si>
  <si>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</si>
  <si>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</si>
  <si>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</si>
  <si>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</si>
  <si>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</si>
  <si>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</si>
  <si>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</si>
  <si>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</si>
  <si>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</si>
  <si>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</si>
  <si>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</si>
  <si>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</si>
  <si>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</si>
  <si>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</si>
  <si>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</si>
  <si>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</si>
  <si>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</si>
  <si>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</si>
  <si>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</si>
  <si>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</si>
  <si>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</si>
  <si>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</si>
  <si>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</si>
  <si>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</si>
  <si>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</si>
  <si>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</si>
  <si>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</si>
  <si>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</si>
  <si>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</si>
  <si>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</si>
  <si>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</si>
  <si>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</si>
  <si>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</si>
  <si>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</si>
  <si>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</si>
  <si>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</si>
  <si>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</si>
  <si>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</si>
  <si>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</si>
  <si>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</si>
  <si>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</si>
  <si>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</si>
  <si>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</si>
  <si>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</si>
  <si>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</si>
  <si>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</si>
  <si>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</si>
  <si>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</si>
  <si>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</si>
  <si>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</si>
  <si>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</si>
  <si>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</si>
  <si>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</si>
  <si>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</si>
  <si>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</si>
  <si>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</si>
  <si>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</si>
  <si>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</si>
  <si>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</si>
  <si>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</si>
  <si>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</si>
  <si>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</si>
  <si>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</si>
  <si>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</si>
  <si>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</si>
  <si>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</si>
  <si>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</si>
  <si>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</si>
  <si>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</si>
  <si>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</si>
  <si>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</si>
  <si>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</si>
  <si>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</si>
  <si>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</si>
  <si>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</si>
  <si>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</si>
  <si>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</si>
  <si>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</si>
  <si>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</si>
  <si>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</si>
  <si>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</si>
  <si>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</si>
  <si>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</si>
  <si>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</si>
  <si>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</si>
  <si>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</si>
  <si>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</si>
  <si>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</si>
  <si>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</si>
  <si>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</si>
  <si>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</si>
  <si>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</si>
  <si>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</si>
  <si>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</si>
  <si>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</si>
  <si>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</si>
  <si>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</si>
  <si>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</si>
  <si>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</si>
  <si>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</si>
  <si>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</si>
  <si>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</si>
  <si>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</si>
  <si>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</si>
  <si>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</si>
  <si>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</si>
  <si>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</si>
  <si>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</si>
  <si>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</si>
  <si>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</si>
  <si>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</si>
  <si>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</si>
  <si>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</si>
  <si>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</si>
  <si>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</si>
  <si>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</si>
  <si>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</si>
  <si>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</si>
  <si>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</si>
  <si>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</si>
  <si>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</si>
  <si>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</si>
  <si>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</si>
  <si>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</si>
  <si>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</si>
  <si>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</si>
  <si>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</si>
  <si>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</si>
  <si>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</si>
  <si>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</si>
  <si>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</si>
  <si>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</si>
  <si>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</si>
  <si>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</si>
  <si>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</si>
  <si>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</si>
  <si>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</si>
  <si>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</si>
  <si>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</si>
  <si>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</si>
  <si>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</si>
  <si>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</si>
  <si>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</si>
  <si>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</si>
  <si>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</si>
  <si>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</si>
  <si>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</si>
  <si>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</si>
  <si>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</si>
  <si>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</si>
  <si>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</si>
  <si>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</si>
  <si>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</si>
  <si>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</si>
  <si>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</si>
  <si>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</si>
  <si>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</si>
  <si>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</si>
  <si>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</si>
  <si>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</si>
  <si>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</si>
  <si>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</si>
  <si>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</si>
  <si>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</si>
  <si>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</si>
  <si>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</si>
  <si>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</si>
  <si>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</si>
  <si>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</si>
  <si>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</si>
  <si>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</si>
  <si>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</si>
  <si>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</si>
  <si>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</si>
  <si>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</si>
  <si>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</si>
  <si>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</si>
  <si>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</si>
  <si>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</si>
  <si>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</si>
  <si>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</si>
  <si>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</si>
  <si>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</si>
  <si>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</si>
  <si>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</si>
  <si>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</si>
  <si>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</si>
  <si>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</si>
  <si>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</si>
  <si>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</si>
  <si>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</si>
  <si>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</si>
  <si>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</si>
  <si>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</si>
  <si>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</si>
  <si>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</si>
  <si>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</si>
  <si>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</si>
  <si>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</si>
  <si>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</si>
  <si>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</si>
  <si>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</si>
  <si>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</si>
  <si>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</si>
  <si>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</si>
  <si>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</si>
  <si>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</si>
  <si>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</si>
  <si>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</si>
  <si>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</si>
  <si>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</si>
  <si>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</si>
  <si>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</si>
  <si>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</si>
  <si>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</si>
  <si>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</si>
  <si>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</si>
  <si>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</si>
  <si>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</si>
  <si>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</si>
  <si>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</si>
  <si>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</si>
  <si>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</si>
  <si>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</si>
  <si>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</si>
  <si>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</si>
  <si>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</si>
  <si>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</si>
  <si>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</si>
  <si>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</si>
  <si>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</si>
  <si>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</si>
  <si>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</si>
  <si>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</si>
  <si>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</si>
  <si>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</si>
  <si>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</si>
  <si>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</si>
  <si>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</si>
  <si>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</si>
  <si>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</si>
  <si>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</si>
  <si>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</si>
  <si>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</si>
  <si>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</si>
  <si>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</si>
  <si>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</si>
  <si>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</si>
  <si>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</si>
  <si>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</si>
  <si>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</si>
  <si>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</si>
  <si>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</si>
  <si>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</si>
  <si>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</si>
  <si>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</si>
  <si>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</si>
  <si>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</si>
  <si>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</si>
  <si>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</si>
  <si>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</si>
  <si>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</si>
  <si>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</si>
  <si>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</si>
  <si>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</si>
  <si>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</si>
  <si>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</si>
  <si>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</si>
  <si>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</si>
  <si>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</si>
  <si>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</si>
  <si>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</si>
  <si>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</si>
  <si>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</si>
  <si>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</si>
  <si>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</si>
  <si>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</si>
  <si>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</si>
  <si>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</si>
  <si>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</si>
  <si>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</si>
  <si>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</si>
  <si>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</si>
  <si>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</si>
  <si>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</si>
  <si>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</si>
  <si>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</si>
  <si>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</si>
  <si>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</si>
  <si>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</si>
  <si>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</si>
  <si>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</si>
  <si>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</si>
  <si>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</si>
  <si>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</si>
  <si>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</si>
  <si>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</si>
  <si>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</si>
  <si>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</si>
  <si>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</si>
  <si>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</si>
  <si>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</si>
  <si>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</si>
  <si>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</si>
  <si>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</si>
  <si>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</si>
  <si>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</si>
  <si>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</si>
  <si>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</si>
  <si>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</si>
  <si>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</si>
  <si>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</si>
  <si>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</si>
  <si>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</si>
  <si>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</si>
  <si>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</si>
  <si>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</si>
  <si>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</si>
  <si>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</si>
  <si>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</si>
  <si>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</si>
  <si>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</si>
  <si>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</si>
  <si>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</si>
  <si>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</si>
  <si>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</si>
  <si>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</si>
  <si>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</si>
  <si>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</si>
  <si>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</si>
  <si>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</si>
  <si>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</si>
  <si>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</si>
  <si>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</si>
  <si>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</si>
  <si>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</si>
  <si>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</si>
  <si>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</si>
  <si>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</si>
  <si>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</si>
  <si>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</si>
  <si>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</si>
  <si>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</si>
  <si>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</si>
  <si>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</si>
  <si>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</si>
  <si>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</si>
  <si>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</si>
  <si>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</si>
  <si>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</si>
  <si>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</si>
  <si>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</si>
  <si>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</si>
  <si>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</si>
  <si>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</si>
  <si>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</si>
  <si>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</si>
  <si>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</si>
  <si>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</si>
  <si>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</si>
  <si>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</si>
  <si>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</si>
  <si>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</si>
  <si>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</si>
  <si>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</si>
  <si>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</si>
  <si>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</si>
  <si>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</si>
  <si>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</si>
  <si>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</si>
  <si>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</si>
  <si>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</si>
  <si>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</si>
  <si>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</si>
  <si>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</si>
  <si>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</si>
  <si>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</si>
  <si>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</si>
  <si>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</si>
  <si>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</si>
  <si>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</si>
  <si>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</si>
  <si>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</si>
  <si>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</si>
  <si>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</si>
  <si>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</si>
  <si>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</si>
  <si>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</si>
  <si>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</si>
  <si>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</si>
  <si>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</si>
  <si>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</si>
  <si>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</si>
  <si>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</si>
  <si>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</si>
  <si>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</si>
  <si>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</si>
  <si>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</si>
  <si>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</si>
  <si>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</si>
  <si>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</si>
  <si>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</si>
  <si>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</si>
  <si>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</si>
  <si>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</si>
  <si>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</si>
  <si>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</si>
  <si>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</si>
  <si>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</si>
  <si>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</si>
  <si>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</si>
  <si>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</si>
  <si>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</si>
  <si>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</si>
  <si>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</si>
  <si>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</si>
  <si>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</si>
  <si>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</si>
  <si>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</si>
  <si>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</si>
  <si>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</si>
  <si>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</si>
  <si>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</si>
  <si>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</si>
  <si>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</si>
  <si>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</si>
  <si>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</si>
  <si>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</si>
  <si>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</si>
  <si>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</si>
  <si>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</si>
  <si>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</si>
  <si>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</si>
  <si>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</si>
  <si>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</si>
  <si>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</si>
  <si>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</si>
  <si>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</si>
  <si>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</si>
  <si>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</si>
  <si>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</si>
  <si>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</si>
  <si>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</si>
  <si>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</si>
  <si>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</si>
  <si>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</si>
  <si>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</si>
  <si>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</si>
  <si>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</si>
  <si>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</si>
  <si>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</si>
  <si>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</si>
  <si>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</si>
  <si>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</si>
  <si>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</si>
  <si>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</si>
  <si>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</si>
  <si>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</si>
  <si>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</si>
  <si>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</si>
  <si>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</si>
  <si>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</si>
  <si>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</si>
  <si>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</si>
  <si>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</si>
  <si>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</si>
  <si>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</si>
  <si>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</si>
  <si>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</si>
  <si>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</si>
  <si>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</si>
  <si>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</si>
  <si>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</si>
  <si>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</si>
  <si>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</si>
  <si>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</si>
  <si>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</si>
  <si>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</si>
  <si>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</si>
  <si>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</si>
  <si>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</si>
  <si>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</si>
  <si>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</si>
  <si>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</si>
  <si>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</si>
  <si>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</si>
  <si>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</si>
  <si>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</si>
  <si>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</si>
  <si>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</si>
  <si>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</si>
  <si>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</si>
  <si>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</si>
  <si>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</si>
  <si>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</si>
  <si>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</si>
  <si>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</si>
  <si>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</si>
  <si>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</si>
  <si>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</si>
  <si>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</si>
  <si>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</si>
  <si>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</si>
  <si>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</si>
  <si>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</si>
  <si>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</si>
  <si>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</si>
  <si>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</si>
  <si>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</si>
  <si>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</si>
  <si>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</si>
  <si>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</si>
  <si>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</si>
  <si>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</si>
  <si>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</si>
  <si>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</si>
  <si>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</si>
  <si>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</si>
  <si>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</si>
  <si>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</si>
  <si>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</si>
  <si>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</si>
  <si>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</si>
  <si>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</si>
  <si>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</si>
  <si>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</si>
  <si>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</si>
  <si>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</si>
  <si>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</si>
  <si>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</si>
  <si>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</si>
  <si>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</si>
  <si>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</si>
  <si>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</si>
  <si>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</si>
  <si>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</si>
  <si>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</si>
  <si>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</si>
  <si>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</si>
  <si>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</si>
  <si>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</si>
  <si>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</si>
  <si>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</si>
  <si>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</si>
  <si>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</si>
  <si>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</si>
  <si>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</si>
  <si>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</si>
  <si>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</si>
  <si>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</si>
  <si>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</si>
  <si>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</si>
  <si>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</si>
  <si>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</si>
  <si>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</si>
  <si>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</si>
  <si>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</si>
  <si>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</si>
  <si>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</si>
  <si>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</si>
  <si>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</si>
  <si>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</si>
  <si>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</si>
  <si>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</si>
  <si>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</si>
  <si>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</si>
  <si>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</si>
  <si>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</si>
  <si>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</si>
  <si>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</si>
  <si>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</si>
  <si>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</si>
  <si>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</si>
  <si>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</si>
  <si>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</si>
  <si>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</si>
  <si>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</si>
  <si>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</si>
  <si>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</si>
  <si>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</si>
  <si>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</si>
  <si>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</si>
  <si>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</si>
  <si>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</si>
  <si>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</si>
  <si>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</si>
  <si>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</si>
  <si>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</si>
  <si>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</si>
  <si>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</si>
  <si>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</si>
  <si>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</si>
  <si>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</si>
  <si>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</si>
  <si>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</si>
  <si>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</si>
  <si>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</si>
  <si>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</si>
  <si>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</si>
  <si>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</si>
  <si>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</si>
  <si>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</si>
  <si>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</si>
  <si>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</si>
  <si>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</si>
  <si>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</si>
  <si>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</si>
  <si>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</si>
  <si>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</si>
  <si>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</si>
  <si>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</si>
  <si>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</si>
  <si>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</si>
  <si>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</si>
  <si>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</si>
  <si>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</si>
  <si>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</si>
  <si>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</si>
  <si>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</si>
  <si>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</si>
  <si>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</si>
  <si>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</si>
  <si>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</si>
  <si>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</si>
  <si>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</si>
  <si>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</si>
  <si>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</si>
  <si>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</si>
  <si>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</si>
  <si>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</si>
  <si>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</si>
  <si>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</si>
  <si>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</si>
  <si>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</si>
  <si>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</si>
  <si>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</si>
  <si>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</si>
  <si>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</si>
  <si>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</si>
  <si>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</si>
  <si>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</si>
  <si>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</si>
  <si>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</si>
  <si>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</si>
  <si>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</si>
  <si>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</si>
  <si>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</si>
  <si>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</si>
  <si>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</si>
  <si>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</si>
  <si>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</si>
  <si>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</si>
  <si>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</si>
  <si>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</si>
  <si>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</si>
  <si>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</si>
  <si>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</si>
  <si>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</si>
  <si>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</si>
  <si>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</si>
  <si>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</si>
  <si>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</si>
  <si>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</si>
  <si>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</si>
  <si>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</si>
  <si>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</si>
  <si>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</si>
  <si>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</si>
  <si>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</si>
  <si>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</si>
  <si>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</si>
  <si>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</si>
  <si>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</si>
  <si>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</si>
  <si>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</si>
  <si>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</si>
  <si>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</si>
  <si>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</si>
  <si>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</si>
  <si>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</si>
  <si>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</si>
  <si>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</si>
  <si>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</si>
  <si>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</si>
  <si>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</si>
  <si>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</si>
  <si>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</si>
  <si>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</si>
  <si>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</si>
  <si>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</si>
  <si>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</si>
  <si>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</si>
  <si>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</si>
  <si>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</si>
  <si>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</si>
  <si>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</si>
  <si>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</si>
  <si>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</si>
  <si>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</si>
  <si>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</si>
  <si>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</si>
  <si>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</si>
  <si>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</si>
  <si>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</si>
  <si>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</si>
  <si>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</si>
  <si>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</si>
  <si>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</si>
  <si>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</si>
  <si>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</si>
  <si>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</si>
  <si>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</si>
  <si>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</si>
  <si>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</si>
  <si>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</si>
  <si>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</si>
  <si>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</si>
  <si>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</si>
  <si>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</si>
  <si>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</si>
  <si>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</si>
  <si>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</si>
  <si>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</si>
  <si>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</si>
  <si>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</si>
  <si>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</si>
  <si>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</si>
  <si>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</si>
  <si>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</si>
  <si>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</si>
  <si>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</si>
  <si>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</si>
  <si>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</si>
  <si>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</si>
  <si>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</si>
  <si>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</si>
  <si>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</si>
  <si>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</si>
  <si>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</si>
  <si>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</si>
  <si>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</si>
  <si>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</si>
  <si>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</si>
  <si>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</si>
  <si>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</si>
  <si>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</si>
  <si>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</si>
  <si>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</si>
  <si>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</si>
  <si>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</si>
  <si>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</si>
  <si>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</si>
  <si>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</si>
  <si>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</si>
  <si>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</si>
  <si>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</si>
  <si>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</si>
  <si>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</si>
  <si>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</si>
  <si>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</si>
  <si>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</si>
  <si>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</si>
  <si>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</si>
  <si>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</si>
  <si>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</si>
  <si>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</si>
  <si>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</si>
  <si>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</si>
  <si>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</si>
  <si>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</si>
  <si>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</si>
  <si>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</si>
  <si>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</si>
  <si>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</si>
  <si>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</si>
  <si>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</si>
  <si>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</si>
  <si>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</si>
  <si>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</si>
  <si>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</si>
  <si>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</si>
  <si>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</si>
  <si>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</si>
  <si>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</si>
  <si>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</si>
  <si>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</si>
  <si>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</si>
  <si>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</si>
  <si>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</si>
  <si>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</si>
  <si>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</si>
  <si>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</si>
  <si>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</si>
  <si>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</si>
  <si>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</si>
  <si>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</si>
  <si>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</si>
  <si>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</si>
  <si>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</si>
  <si>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</si>
  <si>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</si>
  <si>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</si>
  <si>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</si>
  <si>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</si>
  <si>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</si>
  <si>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</si>
  <si>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</si>
  <si>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</si>
  <si>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</si>
  <si>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</si>
  <si>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</si>
  <si>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</si>
  <si>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</si>
  <si>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</si>
  <si>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</si>
  <si>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</si>
  <si>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</si>
  <si>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</si>
  <si>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</si>
  <si>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</si>
  <si>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</si>
  <si>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</si>
  <si>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</si>
  <si>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</si>
  <si>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</si>
  <si>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</si>
  <si>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</si>
  <si>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</si>
  <si>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</si>
  <si>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</si>
  <si>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</si>
  <si>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</si>
  <si>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</si>
  <si>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</si>
  <si>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</si>
  <si>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</si>
  <si>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</si>
  <si>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</si>
  <si>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</si>
  <si>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</si>
  <si>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</si>
  <si>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</si>
  <si>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</si>
  <si>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</si>
  <si>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</si>
  <si>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</si>
  <si>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</si>
  <si>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</si>
  <si>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</si>
  <si>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</si>
  <si>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</si>
  <si>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</si>
  <si>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</si>
  <si>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</si>
  <si>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</si>
  <si>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</si>
  <si>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</si>
  <si>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</si>
  <si>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</si>
  <si>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</si>
  <si>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</si>
  <si>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</si>
  <si>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</si>
  <si>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</si>
  <si>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</si>
  <si>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</si>
  <si>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</si>
  <si>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</si>
  <si>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</si>
  <si>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</si>
  <si>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</si>
  <si>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</si>
  <si>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</si>
  <si>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</si>
  <si>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</si>
  <si>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</si>
  <si>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</si>
  <si>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</si>
  <si>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</si>
  <si>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</si>
  <si>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</si>
  <si>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</si>
  <si>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</si>
  <si>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</si>
  <si>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</si>
  <si>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</si>
  <si>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</si>
  <si>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</si>
  <si>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</si>
  <si>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</si>
  <si>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</si>
  <si>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</si>
  <si>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</si>
  <si>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</si>
  <si>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</si>
  <si>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</si>
  <si>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</si>
  <si>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</si>
  <si>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</si>
  <si>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</si>
  <si>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</si>
  <si>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</si>
  <si>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</si>
  <si>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</si>
  <si>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</si>
  <si>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</si>
  <si>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</si>
  <si>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</si>
  <si>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</si>
  <si>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</si>
  <si>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</si>
  <si>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</si>
  <si>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</si>
  <si>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</si>
  <si>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</si>
  <si>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</si>
  <si>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</si>
  <si>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</si>
  <si>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</si>
  <si>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</si>
  <si>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</si>
  <si>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</si>
  <si>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</si>
  <si>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</si>
  <si>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</si>
  <si>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</si>
  <si>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</si>
  <si>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</si>
  <si>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</si>
  <si>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</si>
  <si>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</si>
  <si>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</si>
  <si>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</si>
  <si>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</si>
  <si>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</si>
  <si>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</si>
  <si>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</si>
  <si>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</si>
  <si>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</si>
  <si>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</si>
  <si>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</si>
  <si>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</si>
  <si>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</si>
  <si>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</si>
  <si>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</si>
  <si>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</si>
  <si>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</si>
  <si>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</si>
  <si>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</si>
  <si>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</si>
  <si>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</si>
  <si>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</si>
  <si>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</si>
  <si>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</si>
  <si>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</si>
  <si>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</si>
  <si>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</si>
  <si>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</si>
  <si>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</si>
  <si>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</si>
  <si>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</si>
  <si>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</si>
  <si>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</si>
  <si>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</si>
  <si>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</si>
  <si>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</si>
  <si>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</si>
  <si>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</si>
  <si>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</si>
  <si>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</si>
  <si>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</si>
  <si>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</si>
  <si>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</si>
  <si>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</si>
  <si>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</si>
  <si>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</si>
  <si>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</si>
  <si>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</si>
  <si>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</si>
  <si>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</si>
  <si>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</si>
  <si>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</si>
  <si>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</si>
  <si>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</si>
  <si>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</si>
  <si>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</si>
  <si>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</si>
  <si>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</si>
  <si>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</si>
  <si>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</si>
  <si>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</si>
  <si>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</si>
  <si>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</si>
  <si>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</si>
  <si>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</si>
  <si>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</si>
  <si>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</si>
  <si>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</si>
  <si>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</si>
  <si>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</si>
  <si>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</si>
  <si>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</si>
  <si>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</si>
  <si>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</si>
  <si>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</si>
  <si>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</si>
  <si>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</si>
  <si>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</si>
  <si>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</si>
  <si>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</si>
  <si>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</si>
  <si>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</si>
  <si>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</si>
  <si>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</si>
  <si>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</si>
  <si>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</si>
  <si>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</si>
  <si>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</si>
  <si>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</si>
  <si>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</si>
  <si>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</si>
  <si>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</si>
  <si>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</si>
  <si>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</si>
  <si>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</si>
  <si>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</si>
  <si>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</si>
  <si>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</si>
  <si>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</si>
  <si>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</si>
  <si>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</si>
  <si>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</si>
  <si>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</si>
  <si>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</si>
  <si>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</si>
  <si>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</si>
  <si>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</si>
  <si>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</si>
  <si>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</si>
  <si>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</si>
  <si>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</si>
  <si>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</si>
  <si>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</si>
  <si>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</si>
  <si>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</si>
  <si>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</si>
  <si>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</si>
  <si>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</si>
  <si>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</si>
  <si>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</si>
  <si>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</si>
  <si>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</si>
  <si>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</si>
  <si>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</si>
  <si>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</si>
  <si>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</si>
  <si>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</si>
  <si>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</si>
  <si>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</si>
  <si>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</si>
  <si>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</si>
  <si>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</si>
  <si>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</si>
  <si>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</si>
  <si>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</si>
  <si>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</si>
  <si>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</si>
  <si>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</si>
  <si>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</si>
  <si>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</si>
  <si>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</si>
  <si>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</si>
  <si>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</si>
  <si>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</si>
  <si>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</si>
  <si>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</si>
  <si>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</si>
  <si>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</si>
  <si>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</si>
  <si>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</si>
  <si>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</si>
  <si>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</si>
  <si>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</si>
  <si>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</si>
  <si>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</si>
  <si>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</si>
  <si>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</si>
  <si>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</si>
  <si>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</si>
  <si>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</si>
  <si>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</si>
  <si>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</si>
  <si>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</si>
  <si>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</si>
  <si>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</si>
  <si>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</si>
  <si>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</si>
  <si>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</si>
  <si>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</si>
  <si>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</si>
  <si>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</si>
  <si>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</si>
  <si>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</si>
  <si>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</si>
  <si>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</si>
  <si>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</si>
  <si>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</si>
  <si>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</si>
  <si>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</si>
  <si>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</si>
  <si>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</si>
  <si>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</si>
  <si>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</si>
  <si>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</si>
  <si>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</si>
  <si>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</si>
  <si>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</si>
  <si>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</si>
  <si>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</si>
  <si>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</si>
  <si>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</si>
  <si>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</si>
  <si>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</si>
  <si>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</si>
  <si>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</si>
  <si>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</si>
  <si>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</si>
  <si>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</si>
  <si>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</si>
  <si>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</si>
  <si>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</si>
  <si>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</si>
  <si>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</si>
  <si>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</si>
  <si>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</si>
  <si>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</si>
  <si>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</si>
  <si>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</si>
  <si>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</si>
  <si>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</si>
  <si>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</si>
  <si>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</si>
  <si>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</si>
  <si>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</si>
  <si>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</si>
  <si>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</si>
  <si>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</si>
  <si>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</si>
  <si>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</si>
  <si>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</si>
  <si>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</si>
  <si>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</si>
  <si>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</si>
  <si>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</si>
  <si>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</si>
  <si>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</si>
  <si>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</si>
  <si>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</si>
  <si>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</si>
  <si>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</si>
  <si>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</si>
  <si>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</si>
  <si>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</si>
  <si>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</si>
  <si>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</si>
  <si>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</si>
  <si>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</si>
  <si>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</si>
  <si>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</si>
  <si>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</si>
  <si>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</si>
  <si>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</si>
  <si>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</si>
  <si>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</si>
  <si>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</si>
  <si>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</si>
  <si>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</si>
  <si>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</si>
  <si>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</si>
  <si>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</si>
  <si>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</si>
  <si>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</si>
  <si>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</si>
  <si>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</si>
  <si>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</si>
  <si>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</si>
  <si>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</si>
  <si>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</si>
  <si>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</si>
  <si>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</si>
  <si>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</si>
  <si>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</si>
  <si>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</si>
  <si>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</si>
  <si>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</si>
  <si>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</si>
  <si>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</si>
  <si>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</si>
  <si>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</si>
  <si>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</si>
  <si>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</si>
  <si>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</si>
  <si>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</si>
  <si>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</si>
  <si>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</si>
  <si>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</si>
  <si>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</si>
  <si>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</si>
  <si>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</si>
  <si>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</si>
  <si>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</si>
  <si>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</si>
  <si>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</si>
  <si>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</si>
  <si>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</si>
  <si>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</si>
  <si>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</si>
  <si>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</si>
  <si>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</si>
  <si>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</si>
  <si>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</si>
  <si>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</si>
  <si>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</si>
  <si>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</si>
  <si>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</si>
  <si>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</si>
  <si>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</si>
  <si>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</si>
  <si>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</si>
  <si>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</si>
  <si>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</si>
  <si>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</si>
  <si>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</si>
  <si>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</si>
  <si>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</si>
  <si>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</si>
  <si>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</si>
  <si>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</si>
  <si>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</si>
  <si>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</si>
  <si>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</si>
  <si>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</si>
  <si>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</si>
  <si>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</si>
  <si>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</si>
  <si>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</si>
  <si>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</si>
  <si>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</si>
  <si>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</si>
  <si>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</si>
  <si>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</si>
  <si>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</si>
  <si>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</si>
  <si>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</si>
  <si>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</si>
  <si>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</si>
  <si>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</si>
  <si>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</si>
  <si>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</si>
  <si>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</si>
  <si>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</si>
  <si>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</si>
  <si>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</si>
  <si>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</si>
  <si>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</si>
  <si>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</si>
  <si>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</si>
  <si>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</si>
  <si>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</si>
  <si>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</si>
  <si>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</si>
  <si>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</si>
  <si>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</si>
  <si>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</si>
  <si>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</si>
  <si>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</si>
  <si>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</si>
  <si>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</si>
  <si>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</si>
  <si>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</si>
  <si>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</si>
  <si>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</si>
  <si>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</si>
  <si>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</si>
  <si>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</si>
  <si>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</si>
  <si>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</si>
  <si>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</si>
  <si>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</si>
  <si>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</si>
  <si>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</si>
  <si>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</si>
  <si>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</si>
  <si>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</si>
  <si>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</si>
  <si>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</si>
  <si>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</si>
  <si>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</si>
  <si>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</si>
  <si>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</si>
  <si>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</si>
  <si>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</si>
  <si>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</si>
  <si>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</si>
  <si>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</si>
  <si>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</si>
  <si>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</si>
  <si>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</si>
  <si>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</si>
  <si>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</si>
  <si>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</si>
  <si>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</si>
  <si>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</si>
  <si>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</si>
  <si>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</si>
  <si>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</si>
  <si>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</si>
  <si>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</si>
  <si>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</si>
  <si>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</si>
  <si>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</si>
  <si>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</si>
  <si>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COM_N_2017</t>
  </si>
  <si>
    <t>Added new Veda ~FI_T, ~FI_Process, ~FI_Comm Tables</t>
  </si>
  <si>
    <t>Reduced the dependance of this sheet on COM_2012 by copying over Base year Tech Share, upper and lower (2015&amp;2012) Colums P,Q,AA &amp;AB into this sheet and adjusting references.</t>
  </si>
  <si>
    <t>nothing</t>
  </si>
  <si>
    <t>Updated Energy Balance PJ values from Models/SATIMGE/Model Documentation/Energy Balances Final 2017 combined energy balance_bm.xlsx</t>
  </si>
  <si>
    <t>Updated investment costs to 2022R/PJa</t>
  </si>
  <si>
    <t>Adjusted upper and lower bounds, lifetimes, included NCAP_BND~LO~2017 column in Fl_T table</t>
  </si>
  <si>
    <t>NCAP_BND~UP~0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</si>
</sst>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
      <b/>
      <sz val="10"/>
      <color rgb="FFFF0000"/>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43"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164" fontId="10"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43"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164" fontId="17"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164" fontId="116" fillId="0" borderId="0" applyFont="0" applyFill="0" applyBorder="0" applyAlignment="0" applyProtection="0"/>
    <xf numFmtId="43"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164"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4">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43"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43"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43"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43"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43" fontId="67" fillId="0" borderId="0" xfId="58" applyFont="1"/>
    <xf numFmtId="9" fontId="79" fillId="0" borderId="0" xfId="33" applyFont="1" applyAlignment="1">
      <alignment horizontal="center"/>
    </xf>
    <xf numFmtId="43"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9" fontId="84" fillId="31" borderId="0" xfId="33" applyFont="1" applyFill="1"/>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xf numFmtId="0" fontId="121" fillId="24" borderId="0" xfId="59" applyFont="1" applyFill="1" applyAlignment="1">
      <alignment horizontal="center" wrapText="1"/>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2">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0.75</c:v>
                </c:pt>
                <c:pt idx="2">
                  <c:v>0</c:v>
                </c:pt>
                <c:pt idx="3">
                  <c:v>0</c:v>
                </c:pt>
                <c:pt idx="4">
                  <c:v>0</c:v>
                </c:pt>
                <c:pt idx="5">
                  <c:v>0</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#,##0.00_);_(* \(#,##0.00\);_(*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#,##0.00_);_(* \(#,##0.00\);_(*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#,##0.00_);_(* \(#,##0.00\);_(*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#,##0.00_);_(* \(#,##0.00\);_(*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#,##0.00_);_(* \(#,##0.00\);_(*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#,##0.00_);_(* \(#,##0.00\);_(*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#,##0.00_);_(* \(#,##0.00\);_(*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#,##0.00_);_(* \(#,##0.00\);_(*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 Id="rId9" Type="http://schemas.openxmlformats.org/officeDocument/2006/relationships/image" Target="../media/image1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6.emf"/><Relationship Id="rId3" Type="http://schemas.openxmlformats.org/officeDocument/2006/relationships/image" Target="../media/image21.emf"/><Relationship Id="rId7" Type="http://schemas.openxmlformats.org/officeDocument/2006/relationships/image" Target="../media/image25.emf"/><Relationship Id="rId2" Type="http://schemas.openxmlformats.org/officeDocument/2006/relationships/image" Target="../media/image20.emf"/><Relationship Id="rId1" Type="http://schemas.openxmlformats.org/officeDocument/2006/relationships/image" Target="../media/image19.emf"/><Relationship Id="rId6" Type="http://schemas.openxmlformats.org/officeDocument/2006/relationships/image" Target="../media/image24.emf"/><Relationship Id="rId5" Type="http://schemas.openxmlformats.org/officeDocument/2006/relationships/image" Target="../media/image23.emf"/><Relationship Id="rId4" Type="http://schemas.openxmlformats.org/officeDocument/2006/relationships/image" Target="../media/image22.emf"/><Relationship Id="rId9" Type="http://schemas.openxmlformats.org/officeDocument/2006/relationships/image" Target="../media/image27.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35.emf"/><Relationship Id="rId3" Type="http://schemas.openxmlformats.org/officeDocument/2006/relationships/image" Target="../media/image3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28.emf"/><Relationship Id="rId6" Type="http://schemas.openxmlformats.org/officeDocument/2006/relationships/image" Target="../media/image33.emf"/><Relationship Id="rId5" Type="http://schemas.openxmlformats.org/officeDocument/2006/relationships/image" Target="../media/image32.emf"/><Relationship Id="rId4" Type="http://schemas.openxmlformats.org/officeDocument/2006/relationships/image" Target="../media/image31.emf"/><Relationship Id="rId9" Type="http://schemas.openxmlformats.org/officeDocument/2006/relationships/image" Target="../media/image36.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 Id="rId9" Type="http://schemas.openxmlformats.org/officeDocument/2006/relationships/image" Target="../media/image45.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4" Type="http://schemas.openxmlformats.org/officeDocument/2006/relationships/image" Target="../media/image4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56.emf"/><Relationship Id="rId7" Type="http://schemas.openxmlformats.org/officeDocument/2006/relationships/image" Target="../media/image60.emf"/><Relationship Id="rId2" Type="http://schemas.openxmlformats.org/officeDocument/2006/relationships/image" Target="../media/image55.emf"/><Relationship Id="rId1" Type="http://schemas.openxmlformats.org/officeDocument/2006/relationships/image" Target="../media/image54.emf"/><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4.emf"/><Relationship Id="rId2" Type="http://schemas.openxmlformats.org/officeDocument/2006/relationships/image" Target="../media/image63.emf"/><Relationship Id="rId1" Type="http://schemas.openxmlformats.org/officeDocument/2006/relationships/image" Target="../media/image62.emf"/><Relationship Id="rId4" Type="http://schemas.openxmlformats.org/officeDocument/2006/relationships/image" Target="../media/image65.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73.emf"/><Relationship Id="rId3" Type="http://schemas.openxmlformats.org/officeDocument/2006/relationships/image" Target="../media/image68.emf"/><Relationship Id="rId7" Type="http://schemas.openxmlformats.org/officeDocument/2006/relationships/image" Target="../media/image72.emf"/><Relationship Id="rId2" Type="http://schemas.openxmlformats.org/officeDocument/2006/relationships/image" Target="../media/image67.emf"/><Relationship Id="rId1" Type="http://schemas.openxmlformats.org/officeDocument/2006/relationships/image" Target="../media/image66.emf"/><Relationship Id="rId6" Type="http://schemas.openxmlformats.org/officeDocument/2006/relationships/image" Target="../media/image71.emf"/><Relationship Id="rId5" Type="http://schemas.openxmlformats.org/officeDocument/2006/relationships/image" Target="../media/image70.emf"/><Relationship Id="rId4" Type="http://schemas.openxmlformats.org/officeDocument/2006/relationships/image" Target="../media/image69.emf"/><Relationship Id="rId9" Type="http://schemas.openxmlformats.org/officeDocument/2006/relationships/image" Target="../media/image74.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82.emf"/><Relationship Id="rId3" Type="http://schemas.openxmlformats.org/officeDocument/2006/relationships/image" Target="../media/image77.emf"/><Relationship Id="rId7" Type="http://schemas.openxmlformats.org/officeDocument/2006/relationships/image" Target="../media/image81.emf"/><Relationship Id="rId2" Type="http://schemas.openxmlformats.org/officeDocument/2006/relationships/image" Target="../media/image76.emf"/><Relationship Id="rId1" Type="http://schemas.openxmlformats.org/officeDocument/2006/relationships/image" Target="../media/image75.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78.emf"/><Relationship Id="rId9"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5" Type="http://schemas.openxmlformats.org/officeDocument/2006/relationships/image" Target="../media/image88.emf"/><Relationship Id="rId4" Type="http://schemas.openxmlformats.org/officeDocument/2006/relationships/image" Target="../media/image87.emf"/><Relationship Id="rId9" Type="http://schemas.openxmlformats.org/officeDocument/2006/relationships/image" Target="../media/image9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4.emf"/><Relationship Id="rId3" Type="http://schemas.openxmlformats.org/officeDocument/2006/relationships/image" Target="../media/image99.emf"/><Relationship Id="rId7" Type="http://schemas.openxmlformats.org/officeDocument/2006/relationships/image" Target="../media/image95.emf"/><Relationship Id="rId2" Type="http://schemas.openxmlformats.org/officeDocument/2006/relationships/image" Target="../media/image100.emf"/><Relationship Id="rId1" Type="http://schemas.openxmlformats.org/officeDocument/2006/relationships/image" Target="../media/image101.emf"/><Relationship Id="rId6" Type="http://schemas.openxmlformats.org/officeDocument/2006/relationships/image" Target="../media/image96.emf"/><Relationship Id="rId5" Type="http://schemas.openxmlformats.org/officeDocument/2006/relationships/image" Target="../media/image97.emf"/><Relationship Id="rId4" Type="http://schemas.openxmlformats.org/officeDocument/2006/relationships/image" Target="../media/image98.emf"/><Relationship Id="rId9"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676275</xdr:colOff>
          <xdr:row>11</xdr:row>
          <xdr:rowOff>9525</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66675</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8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8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0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0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0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0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85</xdr:row>
          <xdr:rowOff>0</xdr:rowOff>
        </xdr:from>
        <xdr:to>
          <xdr:col>0</xdr:col>
          <xdr:colOff>828675</xdr:colOff>
          <xdr:row>86</xdr:row>
          <xdr:rowOff>104775</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4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85</xdr:row>
          <xdr:rowOff>0</xdr:rowOff>
        </xdr:from>
        <xdr:to>
          <xdr:col>1</xdr:col>
          <xdr:colOff>762000</xdr:colOff>
          <xdr:row>86</xdr:row>
          <xdr:rowOff>104775</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4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85</xdr:row>
          <xdr:rowOff>0</xdr:rowOff>
        </xdr:from>
        <xdr:to>
          <xdr:col>4</xdr:col>
          <xdr:colOff>676275</xdr:colOff>
          <xdr:row>86</xdr:row>
          <xdr:rowOff>104775</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4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85</xdr:row>
          <xdr:rowOff>0</xdr:rowOff>
        </xdr:from>
        <xdr:to>
          <xdr:col>5</xdr:col>
          <xdr:colOff>1914525</xdr:colOff>
          <xdr:row>86</xdr:row>
          <xdr:rowOff>104775</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4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25</xdr:row>
          <xdr:rowOff>0</xdr:rowOff>
        </xdr:from>
        <xdr:to>
          <xdr:col>0</xdr:col>
          <xdr:colOff>828675</xdr:colOff>
          <xdr:row>26</xdr:row>
          <xdr:rowOff>104775</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0</xdr:rowOff>
        </xdr:from>
        <xdr:to>
          <xdr:col>1</xdr:col>
          <xdr:colOff>762000</xdr:colOff>
          <xdr:row>26</xdr:row>
          <xdr:rowOff>104775</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25</xdr:row>
          <xdr:rowOff>0</xdr:rowOff>
        </xdr:from>
        <xdr:to>
          <xdr:col>4</xdr:col>
          <xdr:colOff>676275</xdr:colOff>
          <xdr:row>26</xdr:row>
          <xdr:rowOff>104775</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5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0</xdr:rowOff>
        </xdr:from>
        <xdr:to>
          <xdr:col>5</xdr:col>
          <xdr:colOff>1914525</xdr:colOff>
          <xdr:row>26</xdr:row>
          <xdr:rowOff>104775</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5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7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7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7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7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7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7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7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7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7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8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8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8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8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8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8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8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8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8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9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9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9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9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9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9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9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9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9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A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A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A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A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A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A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A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A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A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B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1</xdr:col>
          <xdr:colOff>819150</xdr:colOff>
          <xdr:row>4</xdr:row>
          <xdr:rowOff>104775</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B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104775</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B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104775</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B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104775</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B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104775</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B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104775</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B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104775</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B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C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1</xdr:col>
          <xdr:colOff>819150</xdr:colOff>
          <xdr:row>4</xdr:row>
          <xdr:rowOff>104775</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C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104775</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C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104775</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C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104775</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C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104775</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C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104775</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C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104775</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C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xdr:row>
          <xdr:rowOff>0</xdr:rowOff>
        </xdr:from>
        <xdr:to>
          <xdr:col>0</xdr:col>
          <xdr:colOff>828675</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D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xdr:row>
          <xdr:rowOff>0</xdr:rowOff>
        </xdr:from>
        <xdr:to>
          <xdr:col>1</xdr:col>
          <xdr:colOff>762000</xdr:colOff>
          <xdr:row>4</xdr:row>
          <xdr:rowOff>104775</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D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xdr:row>
          <xdr:rowOff>0</xdr:rowOff>
        </xdr:from>
        <xdr:to>
          <xdr:col>4</xdr:col>
          <xdr:colOff>676275</xdr:colOff>
          <xdr:row>4</xdr:row>
          <xdr:rowOff>104775</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D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0</xdr:rowOff>
        </xdr:from>
        <xdr:to>
          <xdr:col>5</xdr:col>
          <xdr:colOff>1914525</xdr:colOff>
          <xdr:row>4</xdr:row>
          <xdr:rowOff>104775</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D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E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E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E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E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E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E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E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E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E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F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F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F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F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F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F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F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F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F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0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0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0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0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0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0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0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0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0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47625</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1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4</xdr:row>
          <xdr:rowOff>123825</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1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123825</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1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123825</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1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123825</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1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123825</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1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123825</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1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123825</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1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123825</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1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D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2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2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904875</xdr:colOff>
          <xdr:row>15</xdr:row>
          <xdr:rowOff>152400</xdr:rowOff>
        </xdr:from>
        <xdr:to>
          <xdr:col>21</xdr:col>
          <xdr:colOff>66675</xdr:colOff>
          <xdr:row>17</xdr:row>
          <xdr:rowOff>9525</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2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3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542925</xdr:colOff>
          <xdr:row>13</xdr:row>
          <xdr:rowOff>133350</xdr:rowOff>
        </xdr:from>
        <xdr:to>
          <xdr:col>9</xdr:col>
          <xdr:colOff>609600</xdr:colOff>
          <xdr:row>15</xdr:row>
          <xdr:rowOff>9525</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4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4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Bruno Merven" id="{2DAB5F2D-2A5B-47EA-8336-6F457BA57422}" userId="S::01405439@wf.uct.ac.za::c7f06137-2c3b-4c5c-8f38-fe1abbc96860"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56" dT="2023-09-21T09:22:20.27" personId="{2DAB5F2D-2A5B-47EA-8336-6F457BA57422}" id="{FA8C7EB6-20C8-444F-BC99-F6CAA93330BF}">
    <text>Allowing any tech to be invested in until we do proper stock modelling.</text>
  </threadedComment>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75"/>
  <cols>
    <col min="1" max="1" width="24.5703125" customWidth="1"/>
    <col min="2" max="2" width="9" customWidth="1"/>
  </cols>
  <sheetData>
    <row r="1" spans="1:6">
      <c r="A1" s="512" t="s">
        <v>1081</v>
      </c>
      <c r="B1" s="361">
        <v>0</v>
      </c>
      <c r="C1" s="384"/>
      <c r="D1" s="485" t="s">
        <v>1049</v>
      </c>
      <c r="F1" s="314"/>
    </row>
    <row r="2" spans="1:6">
      <c r="A2" s="384"/>
      <c r="B2" s="512">
        <v>0</v>
      </c>
      <c r="C2" s="512" t="s">
        <v>1082</v>
      </c>
    </row>
    <row r="3" spans="1:6">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2578125" defaultRowHeight="12.75"/>
  <cols>
    <col min="1" max="1" width="27.28515625" style="1" customWidth="1"/>
    <col min="2" max="2" width="27.140625" style="1" customWidth="1"/>
    <col min="3" max="3" width="23.85546875" style="1" customWidth="1"/>
    <col min="4" max="5" width="22.42578125" style="1" customWidth="1"/>
    <col min="6" max="16384" width="11.42578125" style="1"/>
  </cols>
  <sheetData>
    <row r="1" spans="1:10" s="4" customFormat="1" ht="15">
      <c r="A1" s="3" t="s">
        <v>0</v>
      </c>
    </row>
    <row r="2" spans="1:10" ht="15.75">
      <c r="A2" s="5" t="s">
        <v>1</v>
      </c>
      <c r="J2" s="6" t="s">
        <v>2</v>
      </c>
    </row>
    <row r="3" spans="1:10" ht="15">
      <c r="A3" s="2" t="s">
        <v>3</v>
      </c>
      <c r="J3" s="2" t="s">
        <v>4</v>
      </c>
    </row>
    <row r="4" spans="1:10" ht="15">
      <c r="A4" s="2" t="s">
        <v>5</v>
      </c>
      <c r="J4" s="2" t="s">
        <v>6</v>
      </c>
    </row>
    <row r="5" spans="1:10" ht="15">
      <c r="A5" s="7" t="s">
        <v>7</v>
      </c>
      <c r="J5" s="2" t="s">
        <v>8</v>
      </c>
    </row>
    <row r="6" spans="1:10" ht="15">
      <c r="A6" s="7" t="s">
        <v>9</v>
      </c>
      <c r="B6" s="2"/>
      <c r="J6" s="2" t="s">
        <v>10</v>
      </c>
    </row>
    <row r="7" spans="1:10" ht="15">
      <c r="A7" s="2" t="s">
        <v>11</v>
      </c>
      <c r="J7" s="2" t="s">
        <v>12</v>
      </c>
    </row>
    <row r="8" spans="1:10" ht="15">
      <c r="A8" s="2" t="s">
        <v>13</v>
      </c>
      <c r="J8" s="2" t="s">
        <v>14</v>
      </c>
    </row>
    <row r="9" spans="1:10" ht="15">
      <c r="A9" s="2" t="s">
        <v>15</v>
      </c>
      <c r="J9" s="2" t="s">
        <v>16</v>
      </c>
    </row>
    <row r="10" spans="1:10" ht="15">
      <c r="A10" s="7" t="s">
        <v>17</v>
      </c>
      <c r="J10" s="2" t="s">
        <v>18</v>
      </c>
    </row>
    <row r="11" spans="1:10" ht="15">
      <c r="J11" s="2" t="s">
        <v>19</v>
      </c>
    </row>
    <row r="12" spans="1:10" ht="15">
      <c r="A12" s="2"/>
      <c r="J12" s="2" t="s">
        <v>20</v>
      </c>
    </row>
    <row r="13" spans="1:10" ht="15">
      <c r="A13" s="2"/>
      <c r="J13" s="7" t="s">
        <v>21</v>
      </c>
    </row>
    <row r="14" spans="1:10" ht="15">
      <c r="A14" s="2"/>
      <c r="J14" s="2" t="s">
        <v>22</v>
      </c>
    </row>
    <row r="15" spans="1:10" ht="15">
      <c r="A15" s="2"/>
    </row>
    <row r="16" spans="1:10" ht="15">
      <c r="A16" s="2"/>
    </row>
    <row r="17" spans="1:16" s="4" customFormat="1" ht="15">
      <c r="A17" s="3" t="s">
        <v>23</v>
      </c>
    </row>
    <row r="18" spans="1:16" ht="15.75">
      <c r="A18" s="5" t="s">
        <v>24</v>
      </c>
    </row>
    <row r="19" spans="1:16" ht="15.75">
      <c r="A19" s="2" t="s">
        <v>25</v>
      </c>
      <c r="P19" s="8"/>
    </row>
    <row r="20" spans="1:16" ht="15">
      <c r="A20" s="2" t="s">
        <v>26</v>
      </c>
    </row>
    <row r="21" spans="1:16" ht="15">
      <c r="A21" s="2" t="s">
        <v>27</v>
      </c>
    </row>
    <row r="22" spans="1:16" ht="15">
      <c r="A22" s="2" t="s">
        <v>28</v>
      </c>
    </row>
    <row r="23" spans="1:16" ht="15">
      <c r="A23" s="2" t="s">
        <v>29</v>
      </c>
    </row>
    <row r="24" spans="1:16" ht="15">
      <c r="A24" s="2"/>
    </row>
    <row r="25" spans="1:16" ht="15">
      <c r="A25" s="2" t="s">
        <v>30</v>
      </c>
    </row>
    <row r="26" spans="1:16" ht="15">
      <c r="A26" s="2" t="s">
        <v>31</v>
      </c>
    </row>
    <row r="27" spans="1:16" ht="15">
      <c r="A27" s="2"/>
    </row>
    <row r="28" spans="1:16" ht="15">
      <c r="A28" s="2" t="s">
        <v>32</v>
      </c>
    </row>
    <row r="29" spans="1:16" ht="15">
      <c r="A29" s="2" t="s">
        <v>33</v>
      </c>
    </row>
    <row r="30" spans="1:16" ht="15">
      <c r="A30" s="2" t="s">
        <v>27</v>
      </c>
    </row>
    <row r="31" spans="1:16" ht="15">
      <c r="A31" s="2" t="s">
        <v>28</v>
      </c>
    </row>
    <row r="32" spans="1:16" ht="15">
      <c r="A32" s="2" t="s">
        <v>29</v>
      </c>
    </row>
    <row r="37" spans="1:5" s="4" customFormat="1" ht="15">
      <c r="A37" s="3" t="s">
        <v>34</v>
      </c>
    </row>
    <row r="38" spans="1:5">
      <c r="A38" s="1" t="s">
        <v>35</v>
      </c>
      <c r="B38" s="6" t="s">
        <v>36</v>
      </c>
      <c r="C38" s="1" t="s">
        <v>37</v>
      </c>
    </row>
    <row r="40" spans="1:5">
      <c r="A40" s="6" t="s">
        <v>38</v>
      </c>
    </row>
    <row r="41" spans="1:5">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c r="A49" s="6" t="s">
        <v>58</v>
      </c>
    </row>
    <row r="50" spans="1:5">
      <c r="A50" s="14" t="s">
        <v>39</v>
      </c>
      <c r="B50" s="14" t="s">
        <v>40</v>
      </c>
      <c r="C50" s="14" t="s">
        <v>41</v>
      </c>
      <c r="D50" s="14" t="s">
        <v>42</v>
      </c>
      <c r="E50" s="14" t="s">
        <v>43</v>
      </c>
    </row>
    <row r="51" spans="1:5" ht="38.25">
      <c r="A51" s="12"/>
      <c r="B51" s="15" t="s">
        <v>59</v>
      </c>
      <c r="C51" s="15" t="s">
        <v>60</v>
      </c>
      <c r="D51" s="15" t="s">
        <v>61</v>
      </c>
      <c r="E51" s="12"/>
    </row>
    <row r="52" spans="1:5">
      <c r="A52" s="6" t="s">
        <v>62</v>
      </c>
    </row>
    <row r="53" spans="1:5">
      <c r="A53" s="14" t="s">
        <v>39</v>
      </c>
      <c r="B53" s="14" t="s">
        <v>40</v>
      </c>
      <c r="C53" s="14" t="s">
        <v>41</v>
      </c>
      <c r="D53" s="14" t="s">
        <v>42</v>
      </c>
      <c r="E53" s="14" t="s">
        <v>43</v>
      </c>
    </row>
    <row r="54" spans="1:5" ht="51">
      <c r="A54" s="12"/>
      <c r="B54" s="15" t="s">
        <v>63</v>
      </c>
      <c r="C54" s="15" t="s">
        <v>64</v>
      </c>
      <c r="D54" s="15" t="s">
        <v>65</v>
      </c>
      <c r="E54" s="12"/>
    </row>
    <row r="57" spans="1:5">
      <c r="A57" s="16" t="s">
        <v>66</v>
      </c>
      <c r="B57" s="16" t="s">
        <v>67</v>
      </c>
      <c r="C57" s="16" t="s">
        <v>68</v>
      </c>
    </row>
    <row r="58" spans="1:5">
      <c r="A58" s="17" t="s">
        <v>69</v>
      </c>
      <c r="B58" s="17" t="s">
        <v>70</v>
      </c>
      <c r="C58" s="17"/>
    </row>
    <row r="59" spans="1:5">
      <c r="A59" s="17" t="s">
        <v>71</v>
      </c>
      <c r="B59" s="17" t="s">
        <v>72</v>
      </c>
      <c r="C59" s="17" t="s">
        <v>73</v>
      </c>
    </row>
    <row r="60" spans="1:5" ht="25.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sheetPr codeName="Sheet6"/>
  <dimension ref="A1:L59"/>
  <sheetViews>
    <sheetView workbookViewId="0">
      <selection activeCell="A18" sqref="A18"/>
    </sheetView>
  </sheetViews>
  <sheetFormatPr defaultColWidth="11.42578125" defaultRowHeight="12.75"/>
  <cols>
    <col min="1" max="1" width="20" style="1" customWidth="1"/>
    <col min="2" max="2" width="6.28515625" style="17" customWidth="1"/>
    <col min="3" max="3" width="17.28515625" style="1" customWidth="1"/>
    <col min="4" max="4" width="11.42578125" style="1"/>
    <col min="5" max="5" width="16.7109375" style="1" customWidth="1"/>
    <col min="6" max="16384" width="11.42578125" style="1"/>
  </cols>
  <sheetData>
    <row r="1" spans="1:3" s="20" customFormat="1">
      <c r="A1" s="19" t="s">
        <v>1536</v>
      </c>
      <c r="C1" s="4"/>
    </row>
    <row r="2" spans="1:3">
      <c r="A2" s="1" t="s">
        <v>1521</v>
      </c>
      <c r="B2" s="1"/>
    </row>
    <row r="3" spans="1:3" ht="15.75">
      <c r="B3" s="1" t="s">
        <v>1522</v>
      </c>
      <c r="C3" s="758" t="s">
        <v>1523</v>
      </c>
    </row>
    <row r="4" spans="1:3" ht="15.75">
      <c r="B4" s="17" t="s">
        <v>1524</v>
      </c>
      <c r="C4" s="758" t="s">
        <v>1525</v>
      </c>
    </row>
    <row r="5" spans="1:3" ht="15.75">
      <c r="B5" s="1" t="s">
        <v>1526</v>
      </c>
      <c r="C5" s="758" t="s">
        <v>1527</v>
      </c>
    </row>
    <row r="6" spans="1:3">
      <c r="B6" s="1"/>
      <c r="C6" s="21"/>
    </row>
    <row r="7" spans="1:3">
      <c r="A7" s="1" t="s">
        <v>1528</v>
      </c>
      <c r="B7" s="17" t="s">
        <v>1529</v>
      </c>
      <c r="C7" s="21"/>
    </row>
    <row r="8" spans="1:3">
      <c r="A8" s="1" t="s">
        <v>1530</v>
      </c>
      <c r="C8" s="21"/>
    </row>
    <row r="9" spans="1:3" ht="15.75">
      <c r="B9" s="17">
        <v>1.1000000000000001</v>
      </c>
      <c r="C9" s="758" t="s">
        <v>1531</v>
      </c>
    </row>
    <row r="10" spans="1:3" ht="15.75">
      <c r="C10" s="758"/>
    </row>
    <row r="11" spans="1:3" ht="15.75">
      <c r="A11" s="1" t="s">
        <v>1532</v>
      </c>
      <c r="C11" s="758"/>
    </row>
    <row r="12" spans="1:3" ht="15.75">
      <c r="B12" s="17">
        <v>2.1</v>
      </c>
      <c r="C12" s="758" t="s">
        <v>1533</v>
      </c>
    </row>
    <row r="13" spans="1:3" ht="15.75">
      <c r="B13" s="17">
        <v>2.2000000000000002</v>
      </c>
      <c r="C13" s="758" t="s">
        <v>1534</v>
      </c>
    </row>
    <row r="14" spans="1:3" ht="15.75">
      <c r="C14" s="758"/>
    </row>
    <row r="15" spans="1:3" ht="15.75">
      <c r="A15" s="1" t="s">
        <v>1535</v>
      </c>
      <c r="C15" s="758"/>
    </row>
    <row r="16" spans="1:3" ht="15.75">
      <c r="B16" s="17">
        <v>3.1</v>
      </c>
      <c r="C16" s="758"/>
    </row>
    <row r="17" spans="1:12" ht="15.75">
      <c r="C17" s="758"/>
    </row>
    <row r="18" spans="1:12">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91.25">
      <c r="B26" s="17">
        <v>4</v>
      </c>
      <c r="C26" s="22" t="s">
        <v>90</v>
      </c>
    </row>
    <row r="28" spans="1:12" ht="12.75" customHeight="1">
      <c r="B28" s="17" t="s">
        <v>91</v>
      </c>
      <c r="C28" s="787" t="s">
        <v>92</v>
      </c>
      <c r="D28" s="787"/>
      <c r="E28" s="787"/>
      <c r="F28" s="787"/>
      <c r="G28" s="787"/>
      <c r="H28" s="787"/>
      <c r="I28" s="787"/>
      <c r="J28" s="787"/>
      <c r="K28" s="787"/>
      <c r="L28" s="787"/>
    </row>
    <row r="29" spans="1:12" ht="24" customHeight="1">
      <c r="C29" s="788" t="s">
        <v>93</v>
      </c>
      <c r="D29" s="788"/>
      <c r="E29" s="788"/>
      <c r="F29" s="788"/>
      <c r="G29" s="788"/>
      <c r="H29" s="788"/>
      <c r="I29" s="788"/>
      <c r="J29" s="788"/>
      <c r="K29" s="788"/>
      <c r="L29" s="788"/>
    </row>
    <row r="30" spans="1:12" ht="24" customHeight="1">
      <c r="C30" s="788" t="s">
        <v>94</v>
      </c>
      <c r="D30" s="788"/>
      <c r="E30" s="788"/>
      <c r="F30" s="788"/>
      <c r="G30" s="788"/>
      <c r="H30" s="788"/>
      <c r="I30" s="788"/>
      <c r="J30" s="788"/>
      <c r="K30" s="788"/>
      <c r="L30" s="788"/>
    </row>
    <row r="31" spans="1:12" ht="12.75" customHeight="1">
      <c r="C31" s="788" t="s">
        <v>95</v>
      </c>
      <c r="D31" s="788"/>
      <c r="E31" s="788"/>
      <c r="F31" s="788"/>
      <c r="G31" s="788"/>
      <c r="H31" s="788"/>
      <c r="I31" s="788"/>
      <c r="J31" s="788"/>
      <c r="K31" s="788"/>
      <c r="L31" s="788"/>
    </row>
    <row r="33" spans="2:6">
      <c r="B33" s="17">
        <v>5</v>
      </c>
      <c r="C33" s="1" t="s">
        <v>96</v>
      </c>
    </row>
    <row r="35" spans="2:6" ht="89.2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9.25">
      <c r="B41" s="17" t="s">
        <v>105</v>
      </c>
      <c r="C41" s="22" t="s">
        <v>98</v>
      </c>
    </row>
    <row r="42" spans="2:6">
      <c r="C42" s="1" t="s">
        <v>106</v>
      </c>
    </row>
    <row r="44" spans="2:6">
      <c r="B44" s="17">
        <v>7</v>
      </c>
      <c r="C44" s="1" t="s">
        <v>107</v>
      </c>
    </row>
    <row r="45" spans="2:6">
      <c r="B45" s="17">
        <v>8</v>
      </c>
      <c r="C45" s="1" t="s">
        <v>108</v>
      </c>
    </row>
    <row r="47" spans="2:6">
      <c r="B47" s="17">
        <v>9</v>
      </c>
      <c r="C47" s="23" t="s">
        <v>109</v>
      </c>
      <c r="D47" s="1" t="s">
        <v>110</v>
      </c>
      <c r="E47" s="24">
        <v>1000000000000</v>
      </c>
      <c r="F47" s="1" t="s">
        <v>111</v>
      </c>
    </row>
    <row r="48" spans="2:6">
      <c r="C48" s="23" t="s">
        <v>112</v>
      </c>
      <c r="D48" s="1" t="s">
        <v>113</v>
      </c>
      <c r="E48" s="24">
        <v>1000000000</v>
      </c>
      <c r="F48" s="1" t="s">
        <v>111</v>
      </c>
    </row>
    <row r="49" spans="2:6">
      <c r="C49" s="23" t="s">
        <v>114</v>
      </c>
      <c r="D49" s="1" t="s">
        <v>115</v>
      </c>
      <c r="E49" s="24">
        <v>1000000</v>
      </c>
      <c r="F49" s="1" t="s">
        <v>111</v>
      </c>
    </row>
    <row r="50" spans="2:6">
      <c r="C50" s="23" t="s">
        <v>116</v>
      </c>
      <c r="D50" s="1" t="s">
        <v>117</v>
      </c>
      <c r="E50" s="24">
        <v>1000</v>
      </c>
      <c r="F50" s="1" t="s">
        <v>111</v>
      </c>
    </row>
    <row r="51" spans="2:6">
      <c r="C51" s="23" t="s">
        <v>118</v>
      </c>
      <c r="D51" s="1" t="s">
        <v>119</v>
      </c>
      <c r="E51" s="24">
        <v>100</v>
      </c>
      <c r="F51" s="1" t="s">
        <v>111</v>
      </c>
    </row>
    <row r="52" spans="2:6">
      <c r="C52" s="23" t="s">
        <v>120</v>
      </c>
      <c r="D52" s="1" t="s">
        <v>121</v>
      </c>
      <c r="E52" s="24">
        <v>10</v>
      </c>
      <c r="F52" s="1" t="s">
        <v>111</v>
      </c>
    </row>
    <row r="53" spans="2:6">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sheetPr codeName="Sheet9"/>
  <dimension ref="B2:H77"/>
  <sheetViews>
    <sheetView topLeftCell="A63" workbookViewId="0">
      <selection activeCell="G76" sqref="G76"/>
    </sheetView>
  </sheetViews>
  <sheetFormatPr defaultColWidth="9.140625" defaultRowHeight="12.75"/>
  <cols>
    <col min="1" max="2" width="9.140625" style="412"/>
    <col min="3" max="3" width="11.7109375" style="412" customWidth="1"/>
    <col min="4" max="4" width="9.140625" style="412"/>
    <col min="5" max="5" width="16" style="412" bestFit="1" customWidth="1"/>
    <col min="6" max="6" width="18.5703125" style="412" customWidth="1"/>
    <col min="7" max="7" width="49.140625" style="412" customWidth="1"/>
    <col min="8" max="8" width="59.42578125" style="412" customWidth="1"/>
    <col min="9" max="16384" width="9.140625" style="412"/>
  </cols>
  <sheetData>
    <row r="2" spans="2:7">
      <c r="B2" s="412" t="s">
        <v>1578</v>
      </c>
      <c r="C2" s="412" t="s">
        <v>1579</v>
      </c>
      <c r="D2" s="412" t="s">
        <v>1580</v>
      </c>
      <c r="E2" s="412" t="s">
        <v>1581</v>
      </c>
      <c r="F2" s="412" t="s">
        <v>1582</v>
      </c>
      <c r="G2" s="412" t="s">
        <v>1583</v>
      </c>
    </row>
    <row r="4" spans="2:7">
      <c r="B4" s="412" t="s">
        <v>1584</v>
      </c>
      <c r="C4" s="412" t="s">
        <v>1585</v>
      </c>
      <c r="G4" s="776" t="s">
        <v>1586</v>
      </c>
    </row>
    <row r="5" spans="2:7">
      <c r="G5" s="776" t="s">
        <v>1587</v>
      </c>
    </row>
    <row r="6" spans="2:7">
      <c r="G6" s="412" t="s">
        <v>1588</v>
      </c>
    </row>
    <row r="8" spans="2:7">
      <c r="C8" s="412" t="s">
        <v>1589</v>
      </c>
      <c r="G8" s="776" t="s">
        <v>1590</v>
      </c>
    </row>
    <row r="11" spans="2:7">
      <c r="C11" s="412" t="s">
        <v>1591</v>
      </c>
      <c r="G11" s="776"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77">
        <v>42682</v>
      </c>
      <c r="E29" s="412" t="s">
        <v>1612</v>
      </c>
      <c r="G29" s="412" t="s">
        <v>1613</v>
      </c>
    </row>
    <row r="30" spans="2:7">
      <c r="C30" s="777">
        <v>42682</v>
      </c>
      <c r="F30" s="412" t="s">
        <v>1614</v>
      </c>
      <c r="G30" s="412" t="s">
        <v>1615</v>
      </c>
    </row>
    <row r="33" spans="2:8">
      <c r="E33" s="412" t="s">
        <v>1616</v>
      </c>
    </row>
    <row r="34" spans="2:8">
      <c r="F34" s="412" t="s">
        <v>1617</v>
      </c>
      <c r="G34" s="412" t="s">
        <v>1618</v>
      </c>
    </row>
    <row r="35" spans="2:8">
      <c r="F35" s="412" t="s">
        <v>1619</v>
      </c>
    </row>
    <row r="37" spans="2:8">
      <c r="B37" s="412" t="s">
        <v>1611</v>
      </c>
      <c r="C37" s="778">
        <v>42929</v>
      </c>
      <c r="G37" s="412" t="s">
        <v>1620</v>
      </c>
    </row>
    <row r="38" spans="2:8">
      <c r="B38" s="412" t="s">
        <v>1611</v>
      </c>
      <c r="C38" s="778">
        <v>42933</v>
      </c>
      <c r="G38" s="412" t="s">
        <v>1621</v>
      </c>
    </row>
    <row r="39" spans="2:8">
      <c r="G39" s="412" t="s">
        <v>1622</v>
      </c>
    </row>
    <row r="40" spans="2:8">
      <c r="G40" s="412" t="s">
        <v>1623</v>
      </c>
      <c r="H40" s="412" t="s">
        <v>1624</v>
      </c>
    </row>
    <row r="41" spans="2:8">
      <c r="G41" s="412" t="s">
        <v>1625</v>
      </c>
      <c r="H41" s="412" t="s">
        <v>1626</v>
      </c>
    </row>
    <row r="42" spans="2:8">
      <c r="B42" s="412" t="s">
        <v>1611</v>
      </c>
      <c r="C42" s="778">
        <v>42934</v>
      </c>
      <c r="G42" s="412" t="s">
        <v>1627</v>
      </c>
      <c r="H42" s="412" t="s">
        <v>1628</v>
      </c>
    </row>
    <row r="43" spans="2:8" ht="51">
      <c r="G43" s="779" t="s">
        <v>1629</v>
      </c>
      <c r="H43" s="779" t="s">
        <v>1630</v>
      </c>
    </row>
    <row r="46" spans="2:8">
      <c r="B46" s="412" t="s">
        <v>1584</v>
      </c>
      <c r="C46" s="778">
        <v>42940</v>
      </c>
      <c r="E46" s="412" t="s">
        <v>1631</v>
      </c>
      <c r="G46" s="412" t="s">
        <v>1632</v>
      </c>
    </row>
    <row r="47" spans="2:8">
      <c r="B47" s="412" t="s">
        <v>1584</v>
      </c>
      <c r="C47" s="778">
        <v>42940</v>
      </c>
      <c r="E47" s="412" t="s">
        <v>1633</v>
      </c>
      <c r="G47" s="412" t="s">
        <v>1634</v>
      </c>
    </row>
    <row r="48" spans="2:8">
      <c r="G48" s="412" t="s">
        <v>1635</v>
      </c>
    </row>
    <row r="50" spans="2:7">
      <c r="B50" s="412" t="s">
        <v>1611</v>
      </c>
      <c r="C50" s="778">
        <v>43041</v>
      </c>
      <c r="E50" s="412" t="s">
        <v>1633</v>
      </c>
      <c r="G50" s="412" t="s">
        <v>1636</v>
      </c>
    </row>
    <row r="52" spans="2:7">
      <c r="B52" s="412" t="s">
        <v>1584</v>
      </c>
      <c r="C52" s="778">
        <v>43138</v>
      </c>
      <c r="E52" s="412" t="s">
        <v>1637</v>
      </c>
      <c r="G52" s="412" t="s">
        <v>1638</v>
      </c>
    </row>
    <row r="54" spans="2:7">
      <c r="B54" s="412" t="s">
        <v>1639</v>
      </c>
      <c r="C54" s="778">
        <v>45124</v>
      </c>
      <c r="E54" s="412" t="s">
        <v>1640</v>
      </c>
      <c r="G54" s="412" t="s">
        <v>1641</v>
      </c>
    </row>
    <row r="55" spans="2:7">
      <c r="C55" s="778">
        <v>45125</v>
      </c>
      <c r="E55" s="412" t="s">
        <v>1642</v>
      </c>
      <c r="G55" s="412" t="s">
        <v>1643</v>
      </c>
    </row>
    <row r="56" spans="2:7">
      <c r="C56" s="778">
        <v>45125</v>
      </c>
      <c r="E56" s="412" t="s">
        <v>1644</v>
      </c>
      <c r="G56" s="412" t="s">
        <v>1641</v>
      </c>
    </row>
    <row r="58" spans="2:7">
      <c r="C58" s="778">
        <v>45131</v>
      </c>
      <c r="E58" s="412" t="s">
        <v>1645</v>
      </c>
      <c r="G58" s="412" t="s">
        <v>1646</v>
      </c>
    </row>
    <row r="59" spans="2:7">
      <c r="E59" s="412" t="s">
        <v>1647</v>
      </c>
      <c r="G59" s="412" t="s">
        <v>1648</v>
      </c>
    </row>
    <row r="61" spans="2:7">
      <c r="C61" s="778">
        <v>45132</v>
      </c>
      <c r="E61" s="412" t="s">
        <v>1642</v>
      </c>
      <c r="G61" s="412" t="s">
        <v>1649</v>
      </c>
    </row>
    <row r="63" spans="2:7" ht="51">
      <c r="C63" s="777">
        <v>45148</v>
      </c>
      <c r="E63" s="412" t="s">
        <v>1650</v>
      </c>
      <c r="G63" s="779" t="s">
        <v>1651</v>
      </c>
    </row>
    <row r="64" spans="2:7">
      <c r="C64" s="777">
        <v>45156</v>
      </c>
      <c r="E64" s="412" t="s">
        <v>1650</v>
      </c>
      <c r="G64" s="412" t="s">
        <v>1671</v>
      </c>
    </row>
    <row r="65" spans="2:7">
      <c r="E65" s="412" t="s">
        <v>1670</v>
      </c>
      <c r="G65" s="412" t="s">
        <v>1671</v>
      </c>
    </row>
    <row r="67" spans="2:7">
      <c r="C67" s="777">
        <v>45160</v>
      </c>
      <c r="E67" s="412" t="s">
        <v>1667</v>
      </c>
      <c r="G67" s="412" t="s">
        <v>1668</v>
      </c>
    </row>
    <row r="68" spans="2:7">
      <c r="E68" s="412" t="s">
        <v>1612</v>
      </c>
      <c r="G68" s="412" t="s">
        <v>1669</v>
      </c>
    </row>
    <row r="69" spans="2:7">
      <c r="E69" s="412" t="s">
        <v>1650</v>
      </c>
      <c r="G69" s="412" t="s">
        <v>1675</v>
      </c>
    </row>
    <row r="70" spans="2:7">
      <c r="E70" s="412" t="s">
        <v>1670</v>
      </c>
      <c r="G70" s="412" t="s">
        <v>1675</v>
      </c>
    </row>
    <row r="71" spans="2:7">
      <c r="E71" s="412" t="s">
        <v>1670</v>
      </c>
      <c r="G71" s="412" t="s">
        <v>1672</v>
      </c>
    </row>
    <row r="73" spans="2:7">
      <c r="C73" s="777">
        <v>45188</v>
      </c>
      <c r="E73" s="412" t="s">
        <v>1650</v>
      </c>
      <c r="G73" s="412" t="s">
        <v>1674</v>
      </c>
    </row>
    <row r="74" spans="2:7">
      <c r="E74" s="412" t="s">
        <v>1670</v>
      </c>
      <c r="G74" s="412" t="s">
        <v>1674</v>
      </c>
    </row>
    <row r="76" spans="2:7">
      <c r="B76" s="412" t="s">
        <v>1584</v>
      </c>
      <c r="C76" s="777">
        <v>45188</v>
      </c>
      <c r="E76" s="412" t="s">
        <v>1650</v>
      </c>
      <c r="G76" s="412" t="s">
        <v>1676</v>
      </c>
    </row>
    <row r="77" spans="2:7">
      <c r="E77" s="412" t="s">
        <v>1670</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2578125" defaultRowHeight="12.75"/>
  <cols>
    <col min="1" max="4" width="11.42578125" style="1"/>
    <col min="5" max="5" width="7.28515625" style="1" customWidth="1"/>
    <col min="6" max="6" width="11.42578125" style="1"/>
    <col min="7" max="7" width="5.42578125" style="1" customWidth="1"/>
    <col min="8" max="8" width="9.42578125" style="1" customWidth="1"/>
    <col min="9" max="9" width="7.28515625" style="1" customWidth="1"/>
    <col min="10" max="10" width="6" style="1" customWidth="1"/>
    <col min="11" max="11" width="5.85546875" style="1" customWidth="1"/>
    <col min="12" max="12" width="10.7109375" style="1" customWidth="1"/>
    <col min="13" max="13" width="9.28515625" style="1" customWidth="1"/>
    <col min="14" max="14" width="3.85546875" style="1" customWidth="1"/>
    <col min="15" max="15" width="18.28515625" style="1" customWidth="1"/>
    <col min="16" max="16" width="3.7109375" style="1" customWidth="1"/>
    <col min="17" max="17" width="11.28515625" style="1" customWidth="1"/>
    <col min="18" max="18" width="11.42578125" style="1"/>
    <col min="19" max="19" width="10.7109375" style="1" customWidth="1"/>
    <col min="20" max="20" width="10.140625" style="1" customWidth="1"/>
    <col min="21" max="21" width="9.7109375" style="1" customWidth="1"/>
    <col min="22" max="22" width="14.85546875" style="1" customWidth="1"/>
    <col min="23" max="23" width="7.28515625" style="1" customWidth="1"/>
    <col min="24" max="16384" width="11.42578125" style="1"/>
  </cols>
  <sheetData>
    <row r="1" spans="1:24" ht="15.75">
      <c r="A1" s="5" t="s">
        <v>129</v>
      </c>
    </row>
    <row r="2" spans="1:24" ht="12.75" customHeight="1">
      <c r="A2" s="789" t="s">
        <v>130</v>
      </c>
      <c r="B2" s="789"/>
      <c r="C2" s="789"/>
      <c r="D2" s="789"/>
      <c r="E2" s="789"/>
      <c r="F2" s="789"/>
      <c r="G2" s="789"/>
      <c r="H2" s="789"/>
    </row>
    <row r="3" spans="1:24" ht="15.75">
      <c r="F3" s="5"/>
    </row>
    <row r="4" spans="1:24" ht="15.75">
      <c r="F4" s="5"/>
    </row>
    <row r="5" spans="1:24" ht="15.75">
      <c r="A5" s="790" t="s">
        <v>131</v>
      </c>
      <c r="B5" s="790"/>
      <c r="C5" s="790"/>
      <c r="D5" s="790"/>
      <c r="F5" s="790" t="s">
        <v>131</v>
      </c>
      <c r="G5" s="790"/>
      <c r="H5" s="790"/>
      <c r="I5" s="790"/>
      <c r="J5" s="790"/>
      <c r="K5" s="790"/>
      <c r="L5" s="790"/>
      <c r="M5" s="790"/>
      <c r="Q5" s="25" t="s">
        <v>132</v>
      </c>
      <c r="R5" s="25"/>
      <c r="S5" s="25"/>
      <c r="T5" s="25"/>
      <c r="U5" s="25"/>
      <c r="V5" s="25"/>
      <c r="W5" s="25"/>
      <c r="X5" s="25"/>
    </row>
    <row r="6" spans="1:24" s="30" customFormat="1" ht="38.2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2578125" defaultRowHeight="12.75"/>
  <cols>
    <col min="1" max="1" width="43.140625" style="1" customWidth="1"/>
    <col min="2" max="2" width="24.85546875" style="41" customWidth="1"/>
    <col min="3" max="3" width="15.140625" style="41" customWidth="1"/>
    <col min="4" max="4" width="11.28515625" style="41" customWidth="1"/>
    <col min="5" max="5" width="16.42578125" style="41" customWidth="1"/>
    <col min="6" max="6" width="24.42578125" style="41" customWidth="1"/>
    <col min="7" max="7" width="11.42578125" style="41" customWidth="1"/>
    <col min="8" max="16384" width="11.42578125" style="1"/>
  </cols>
  <sheetData>
    <row r="1" spans="1:7" s="123" customFormat="1" ht="13.5" thickBot="1">
      <c r="A1" s="123" t="s">
        <v>179</v>
      </c>
      <c r="B1" s="124"/>
      <c r="C1" s="124"/>
      <c r="D1" s="124"/>
      <c r="E1" s="124"/>
      <c r="F1" s="124"/>
      <c r="G1" s="124"/>
    </row>
    <row r="3" spans="1:7">
      <c r="A3" s="47" t="s">
        <v>433</v>
      </c>
    </row>
    <row r="4" spans="1:7" s="6" customFormat="1">
      <c r="A4" s="90" t="s">
        <v>434</v>
      </c>
      <c r="B4" s="125"/>
      <c r="C4" s="125"/>
      <c r="D4" s="125"/>
      <c r="E4" s="125"/>
      <c r="F4" s="125"/>
      <c r="G4" s="125"/>
    </row>
    <row r="5" spans="1:7" s="6" customFormat="1">
      <c r="A5" s="126" t="s">
        <v>435</v>
      </c>
      <c r="B5" s="125"/>
      <c r="C5" s="125"/>
      <c r="D5" s="125"/>
      <c r="E5" s="125"/>
      <c r="F5" s="125"/>
      <c r="G5" s="125"/>
    </row>
    <row r="6" spans="1:7" s="6" customFormat="1">
      <c r="A6" s="127" t="s">
        <v>436</v>
      </c>
      <c r="B6" s="125"/>
      <c r="C6" s="125"/>
      <c r="D6" s="125"/>
      <c r="E6" s="125"/>
      <c r="F6" s="125"/>
      <c r="G6" s="125"/>
    </row>
    <row r="7" spans="1:7" s="6" customFormat="1">
      <c r="A7" s="128" t="s">
        <v>437</v>
      </c>
      <c r="B7" s="125"/>
      <c r="C7" s="125"/>
      <c r="D7" s="125"/>
      <c r="E7" s="125"/>
      <c r="F7" s="125"/>
      <c r="G7" s="125"/>
    </row>
    <row r="8" spans="1:7">
      <c r="A8" s="48"/>
      <c r="B8" s="49"/>
      <c r="C8" s="49"/>
      <c r="D8" s="49"/>
      <c r="E8" s="49"/>
      <c r="F8" s="50"/>
      <c r="G8" s="50"/>
    </row>
    <row r="9" spans="1:7" s="55" customFormat="1">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c r="A14" s="51" t="s">
        <v>200</v>
      </c>
      <c r="B14" s="52"/>
      <c r="C14" s="52"/>
      <c r="D14" s="52"/>
      <c r="E14" s="52"/>
      <c r="F14" s="53"/>
      <c r="G14" s="53"/>
    </row>
    <row r="15" spans="1:7">
      <c r="A15" s="17"/>
      <c r="B15" s="69"/>
      <c r="C15" s="69"/>
      <c r="D15" s="69"/>
    </row>
    <row r="16" spans="1:7" s="6" customFormat="1">
      <c r="A16" s="9"/>
      <c r="B16" s="14" t="s">
        <v>185</v>
      </c>
      <c r="C16" s="14">
        <v>1990</v>
      </c>
      <c r="D16" s="129">
        <f>C16+1</f>
        <v>1991</v>
      </c>
      <c r="E16" s="129">
        <f>D16+1</f>
        <v>1992</v>
      </c>
      <c r="F16" s="1"/>
      <c r="G16" s="1"/>
    </row>
    <row r="17" spans="1:41" ht="12.75" customHeight="1">
      <c r="A17" s="58" t="s">
        <v>201</v>
      </c>
      <c r="B17" s="791" t="s">
        <v>202</v>
      </c>
      <c r="C17" s="59"/>
      <c r="D17" s="75">
        <v>1.9300000000000001E-2</v>
      </c>
      <c r="E17" s="76">
        <v>1.9300000000000001E-2</v>
      </c>
      <c r="F17" s="1"/>
      <c r="G17" s="1"/>
    </row>
    <row r="18" spans="1:41" ht="25.5">
      <c r="A18" s="58" t="s">
        <v>203</v>
      </c>
      <c r="B18" s="791"/>
      <c r="C18" s="59"/>
      <c r="D18" s="75">
        <v>3.15E-2</v>
      </c>
      <c r="E18" s="76">
        <v>3.15E-2</v>
      </c>
      <c r="F18" s="1"/>
      <c r="G18" s="1"/>
    </row>
    <row r="19" spans="1:41" ht="25.5">
      <c r="A19" s="58" t="s">
        <v>204</v>
      </c>
      <c r="B19" s="791"/>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c r="A22" s="51" t="s">
        <v>205</v>
      </c>
      <c r="B22" s="52"/>
      <c r="C22" s="52"/>
      <c r="D22" s="52"/>
      <c r="E22" s="52"/>
      <c r="F22" s="53"/>
      <c r="G22" s="53"/>
      <c r="H22" s="53"/>
      <c r="I22" s="53"/>
    </row>
    <row r="23" spans="1:41">
      <c r="A23" s="17"/>
      <c r="B23" s="69"/>
      <c r="C23" s="69"/>
      <c r="D23" s="1"/>
      <c r="E23" s="1"/>
      <c r="F23" s="1"/>
      <c r="G23" s="1"/>
    </row>
    <row r="24" spans="1:41" s="85" customFormat="1" ht="39"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676275</xdr:colOff>
                <xdr:row>11</xdr:row>
                <xdr:rowOff>9525</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66675</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abSelected="1" topLeftCell="A54" zoomScale="79" zoomScaleNormal="100" workbookViewId="0">
      <selection activeCell="K107" sqref="K102:K107"/>
    </sheetView>
  </sheetViews>
  <sheetFormatPr defaultColWidth="8.85546875" defaultRowHeight="12.75"/>
  <cols>
    <col min="1" max="1" width="52.7109375" style="705" customWidth="1"/>
    <col min="2" max="2" width="18.28515625" style="705" customWidth="1"/>
    <col min="3" max="3" width="14.28515625" style="705" customWidth="1"/>
    <col min="4" max="6" width="8.42578125" style="705" customWidth="1"/>
    <col min="7" max="7" width="12.85546875" style="705" customWidth="1"/>
    <col min="8" max="11" width="8.42578125" style="705" customWidth="1"/>
    <col min="12" max="17" width="6.28515625" style="705" customWidth="1"/>
    <col min="18" max="37" width="10" style="705" customWidth="1"/>
    <col min="38" max="38" width="11.7109375" style="705" customWidth="1"/>
    <col min="39" max="42" width="10" style="705" customWidth="1"/>
    <col min="43" max="43" width="15.85546875" style="705" customWidth="1"/>
    <col min="44" max="44" width="17" style="705" customWidth="1"/>
    <col min="45" max="45" width="46.85546875" style="705" customWidth="1"/>
    <col min="46" max="46" width="14.140625" style="705" customWidth="1"/>
    <col min="47" max="54" width="8.85546875" style="705"/>
    <col min="55" max="55" width="45.5703125" style="705" customWidth="1"/>
    <col min="56" max="16384" width="8.85546875" style="705"/>
  </cols>
  <sheetData>
    <row r="1" spans="1:42">
      <c r="A1" s="706" t="s">
        <v>441</v>
      </c>
      <c r="B1" s="792" t="s">
        <v>638</v>
      </c>
      <c r="C1" s="792"/>
      <c r="D1" s="792"/>
      <c r="E1" s="707" t="s">
        <v>639</v>
      </c>
      <c r="F1" s="707"/>
      <c r="G1" s="707"/>
      <c r="H1" s="706"/>
      <c r="I1" s="707"/>
      <c r="J1" s="706"/>
      <c r="K1" s="708"/>
    </row>
    <row r="2" spans="1:42">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c r="A7" s="707"/>
      <c r="B7" s="714" t="s">
        <v>647</v>
      </c>
      <c r="C7" s="644">
        <v>27.73</v>
      </c>
      <c r="D7" s="644">
        <v>1.1000000000000001</v>
      </c>
      <c r="E7" s="644">
        <f>38267*0.0036</f>
        <v>137.7612</v>
      </c>
      <c r="F7" s="316">
        <v>1.232</v>
      </c>
      <c r="G7" s="316">
        <v>0</v>
      </c>
      <c r="H7" s="644">
        <v>2.75</v>
      </c>
      <c r="I7" s="644">
        <v>5.28</v>
      </c>
      <c r="J7" s="644">
        <v>2.15</v>
      </c>
      <c r="K7" s="316">
        <f>SUM(C7:J7)</f>
        <v>178.00320000000002</v>
      </c>
      <c r="L7" s="715"/>
    </row>
    <row r="8" spans="1:42">
      <c r="A8" s="707" t="s">
        <v>648</v>
      </c>
      <c r="B8" s="714" t="s">
        <v>649</v>
      </c>
      <c r="C8" s="416">
        <f>C7/$K$7</f>
        <v>0.15578371624779777</v>
      </c>
      <c r="D8" s="416">
        <f>D7/$K$7</f>
        <v>6.1796641858123894E-3</v>
      </c>
      <c r="E8" s="416">
        <f>E7/$K$7</f>
        <v>0.77392541257685243</v>
      </c>
      <c r="F8" s="416">
        <f t="shared" ref="F8:J8" si="2">F7/$K$7</f>
        <v>6.9212238881098754E-3</v>
      </c>
      <c r="G8" s="416">
        <f t="shared" si="2"/>
        <v>0</v>
      </c>
      <c r="H8" s="416">
        <f t="shared" si="2"/>
        <v>1.5449160464530973E-2</v>
      </c>
      <c r="I8" s="416">
        <f t="shared" si="2"/>
        <v>2.9662388091899469E-2</v>
      </c>
      <c r="J8" s="416">
        <f t="shared" si="2"/>
        <v>1.2078434544996942E-2</v>
      </c>
      <c r="K8" s="316"/>
      <c r="L8" s="715"/>
    </row>
    <row r="9" spans="1:42">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c r="A13" s="705" t="s">
        <v>658</v>
      </c>
      <c r="B13" s="706" t="s">
        <v>659</v>
      </c>
      <c r="C13" s="712">
        <v>0.1</v>
      </c>
      <c r="D13" s="712">
        <v>0.1</v>
      </c>
      <c r="E13" s="712">
        <v>0</v>
      </c>
      <c r="F13" s="712">
        <v>0.05</v>
      </c>
      <c r="G13" s="712">
        <v>0.1</v>
      </c>
      <c r="H13" s="712">
        <v>0.1</v>
      </c>
      <c r="I13" s="712"/>
      <c r="J13" s="712"/>
      <c r="K13" s="711"/>
      <c r="L13" s="712">
        <f>L12+1</f>
        <v>5</v>
      </c>
    </row>
    <row r="14" spans="1:42">
      <c r="A14" s="707"/>
      <c r="B14" s="712"/>
      <c r="C14" s="712"/>
      <c r="D14" s="712"/>
      <c r="E14" s="712"/>
      <c r="F14" s="712"/>
      <c r="G14" s="712"/>
      <c r="H14" s="712"/>
      <c r="I14" s="712"/>
      <c r="J14" s="712"/>
      <c r="K14" s="711"/>
    </row>
    <row r="15" spans="1:42">
      <c r="A15" s="707" t="s">
        <v>660</v>
      </c>
      <c r="B15" s="712"/>
      <c r="C15" s="686">
        <v>0</v>
      </c>
      <c r="D15" s="686">
        <v>0</v>
      </c>
      <c r="E15" s="556">
        <v>0.1</v>
      </c>
      <c r="F15" s="686">
        <v>0</v>
      </c>
      <c r="G15" s="686">
        <v>0</v>
      </c>
      <c r="H15" s="686">
        <v>0</v>
      </c>
      <c r="I15" s="686">
        <v>0</v>
      </c>
      <c r="J15" s="686">
        <v>0</v>
      </c>
      <c r="K15" s="711"/>
    </row>
    <row r="16" spans="1:42">
      <c r="A16" s="707" t="s">
        <v>661</v>
      </c>
      <c r="B16" s="712" t="s">
        <v>662</v>
      </c>
      <c r="C16" s="687">
        <f t="shared" ref="C16:J16" ca="1" si="3">SUMPRODUCT(--($C$61:$C$121=C6),$M$61:$M$121)^2/(SUMPRODUCT(--($C$61:$C$121=C6),$M$61:$M$121,$F$61:$F$121)+eps)</f>
        <v>41.450106457602168</v>
      </c>
      <c r="D16" s="687">
        <f t="shared" ca="1" si="3"/>
        <v>1.699104084883533</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c r="A17" s="707"/>
      <c r="B17" s="712"/>
      <c r="C17" s="712"/>
      <c r="D17" s="712"/>
      <c r="E17" s="712"/>
      <c r="F17" s="712"/>
      <c r="G17" s="712"/>
      <c r="H17" s="712"/>
      <c r="I17" s="712"/>
      <c r="J17" s="712"/>
      <c r="K17" s="711"/>
    </row>
    <row r="18" spans="1: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c r="C29" s="713" t="s">
        <v>671</v>
      </c>
      <c r="D29" s="713"/>
      <c r="E29" s="713"/>
      <c r="F29" s="713"/>
      <c r="G29" s="713"/>
      <c r="H29" s="713"/>
      <c r="I29" s="713"/>
      <c r="J29" s="713"/>
      <c r="K29" s="711"/>
    </row>
    <row r="30" spans="1: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5">
      <c r="C41" s="720"/>
      <c r="D41" s="720"/>
      <c r="E41" s="720"/>
      <c r="F41" s="720"/>
      <c r="G41" s="720"/>
      <c r="H41" s="720"/>
      <c r="I41" s="720"/>
      <c r="J41" s="720"/>
      <c r="AQ41" s="761" t="s">
        <v>1574</v>
      </c>
      <c r="AR41" s="761" t="s">
        <v>1507</v>
      </c>
      <c r="AS41" s="761" t="s">
        <v>1575</v>
      </c>
      <c r="AT41" s="761">
        <v>2017</v>
      </c>
    </row>
    <row r="42" spans="1:46">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c r="A44" s="722" t="str">
        <f t="shared" si="9"/>
        <v>Commercial - Space Heating</v>
      </c>
      <c r="B44" s="723" t="str">
        <f t="shared" si="9"/>
        <v>CEH</v>
      </c>
      <c r="C44" s="687">
        <f t="shared" si="10"/>
        <v>15.062139135812419</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18.127978539710774</v>
      </c>
      <c r="L44" s="724">
        <f>M74</f>
        <v>18.127978539710774</v>
      </c>
      <c r="M44" s="725">
        <f t="shared" ref="M44:M51" si="12">L44-K44</f>
        <v>0</v>
      </c>
      <c r="AQ44" s="772" t="s">
        <v>664</v>
      </c>
      <c r="AR44" s="412" t="str">
        <f>D61</f>
        <v>CEC</v>
      </c>
      <c r="AS44" s="412" t="s">
        <v>647</v>
      </c>
      <c r="AT44" s="774">
        <f>N67</f>
        <v>128.4127193354179</v>
      </c>
    </row>
    <row r="45" spans="1:46">
      <c r="A45" s="722" t="str">
        <f t="shared" si="9"/>
        <v>Commercial - Cooking</v>
      </c>
      <c r="B45" s="723" t="str">
        <f t="shared" si="9"/>
        <v>CEK</v>
      </c>
      <c r="C45" s="687">
        <f t="shared" si="10"/>
        <v>1.9790603567018995E-2</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8.9896592286336645</v>
      </c>
      <c r="L45" s="724">
        <f>M79</f>
        <v>8.9896592286336645</v>
      </c>
      <c r="M45" s="725">
        <f t="shared" si="12"/>
        <v>0</v>
      </c>
      <c r="AQ45" s="772" t="s">
        <v>664</v>
      </c>
      <c r="AR45" s="412" t="str">
        <f>D69</f>
        <v>CEH</v>
      </c>
      <c r="AS45" s="412" t="s">
        <v>647</v>
      </c>
      <c r="AT45" s="774">
        <f>N74</f>
        <v>11.992907577983047</v>
      </c>
    </row>
    <row r="46" spans="1:46">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8.9629891158025909</v>
      </c>
    </row>
    <row r="47" spans="1:46">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c r="A48" s="722" t="str">
        <f t="shared" si="9"/>
        <v>Commercial - Water Heating</v>
      </c>
      <c r="B48" s="723" t="str">
        <f t="shared" si="9"/>
        <v>CEW</v>
      </c>
      <c r="C48" s="687">
        <f t="shared" si="10"/>
        <v>12.648070260620566</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21.925554728373967</v>
      </c>
      <c r="L48" s="724">
        <f>M100</f>
        <v>21.925554728373967</v>
      </c>
      <c r="M48" s="725">
        <f t="shared" si="12"/>
        <v>0</v>
      </c>
      <c r="AQ48" s="772" t="s">
        <v>664</v>
      </c>
      <c r="AR48" s="412" t="str">
        <f>D89</f>
        <v>CER</v>
      </c>
      <c r="AS48" s="772" t="s">
        <v>647</v>
      </c>
      <c r="AT48" s="775">
        <f>N91</f>
        <v>27.184456041138358</v>
      </c>
    </row>
    <row r="49" spans="1:60">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14.392133809734325</v>
      </c>
    </row>
    <row r="50" spans="1:60">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c r="A51" s="722" t="str">
        <f t="shared" si="9"/>
        <v>Commercial - Other</v>
      </c>
      <c r="B51" s="723" t="str">
        <f t="shared" si="9"/>
        <v>CEO</v>
      </c>
      <c r="C51" s="687">
        <f>C39*C$7</f>
        <v>0</v>
      </c>
      <c r="D51" s="687">
        <f>D39*D$7</f>
        <v>1.1000000000000001</v>
      </c>
      <c r="E51" s="687">
        <f t="shared" si="10"/>
        <v>21.9452808184307</v>
      </c>
      <c r="F51" s="687">
        <f>F39*F$7</f>
        <v>0</v>
      </c>
      <c r="G51" s="687">
        <f>G39*G$7</f>
        <v>0</v>
      </c>
      <c r="H51" s="687">
        <f>H39*H$7</f>
        <v>2.75</v>
      </c>
      <c r="I51" s="687">
        <f>I39*I$7</f>
        <v>0</v>
      </c>
      <c r="J51" s="687">
        <f>J39*J$7</f>
        <v>0</v>
      </c>
      <c r="K51" s="689">
        <f>SUM(C51:J51)</f>
        <v>25.795280818430701</v>
      </c>
      <c r="L51" s="724">
        <f>M120</f>
        <v>25.795280818430701</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c r="A52" s="727" t="str">
        <f>A40</f>
        <v>Total</v>
      </c>
      <c r="B52" s="722"/>
      <c r="C52" s="689">
        <f t="shared" ref="C52:K52" si="13">SUM(C43:C51)</f>
        <v>27.730000000000004</v>
      </c>
      <c r="D52" s="689">
        <f t="shared" si="13"/>
        <v>1.1000000000000001</v>
      </c>
      <c r="E52" s="689">
        <f t="shared" si="13"/>
        <v>137.76119999999997</v>
      </c>
      <c r="F52" s="689">
        <f t="shared" si="13"/>
        <v>1.2319999999999998</v>
      </c>
      <c r="G52" s="689">
        <f t="shared" si="13"/>
        <v>0</v>
      </c>
      <c r="H52" s="689">
        <f t="shared" si="13"/>
        <v>2.75</v>
      </c>
      <c r="I52" s="689">
        <f t="shared" si="13"/>
        <v>5.28</v>
      </c>
      <c r="J52" s="689">
        <f t="shared" si="13"/>
        <v>2.15</v>
      </c>
      <c r="K52" s="689">
        <f t="shared" si="13"/>
        <v>178.00320000000002</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0.75</v>
      </c>
      <c r="AF52" s="562">
        <v>0</v>
      </c>
      <c r="AG52" s="562">
        <v>0</v>
      </c>
      <c r="AH52" s="562">
        <v>0</v>
      </c>
      <c r="AI52" s="562">
        <v>0</v>
      </c>
      <c r="AJ52" s="562">
        <v>0</v>
      </c>
      <c r="AQ52" s="772" t="s">
        <v>664</v>
      </c>
      <c r="AR52" s="705" t="str">
        <f>D113</f>
        <v>CEO</v>
      </c>
      <c r="AS52" s="772" t="s">
        <v>647</v>
      </c>
      <c r="AT52" s="724">
        <f>N120</f>
        <v>20.198960613823022</v>
      </c>
    </row>
    <row r="53" spans="1:60">
      <c r="A53" s="728"/>
      <c r="B53" s="729"/>
      <c r="C53" s="730"/>
      <c r="D53" s="730"/>
      <c r="E53" s="730"/>
      <c r="F53" s="730"/>
      <c r="G53" s="730"/>
      <c r="H53" s="730"/>
      <c r="I53" s="730"/>
      <c r="J53" s="730"/>
      <c r="K53" s="730"/>
      <c r="T53" s="733">
        <v>0.5</v>
      </c>
      <c r="U53" s="733">
        <v>0.75</v>
      </c>
      <c r="V53" s="733">
        <v>1</v>
      </c>
      <c r="W53" s="733">
        <v>1</v>
      </c>
      <c r="X53" s="733">
        <v>1</v>
      </c>
      <c r="Y53" s="733">
        <v>1</v>
      </c>
      <c r="AM53" s="705">
        <v>5</v>
      </c>
    </row>
    <row r="54" spans="1:60">
      <c r="C54" s="715"/>
      <c r="D54" s="715"/>
      <c r="E54" s="715"/>
      <c r="F54" s="715"/>
      <c r="G54" s="715"/>
      <c r="H54" s="715"/>
      <c r="AM54" s="705">
        <f>12/5</f>
        <v>2.4</v>
      </c>
    </row>
    <row r="55" spans="1:60">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8.25">
      <c r="A56" s="732" t="s">
        <v>676</v>
      </c>
      <c r="B56" s="732" t="s">
        <v>677</v>
      </c>
      <c r="C56" s="732" t="s">
        <v>678</v>
      </c>
      <c r="D56" s="732" t="s">
        <v>679</v>
      </c>
      <c r="E56" s="732" t="s">
        <v>731</v>
      </c>
      <c r="F56" s="732" t="s">
        <v>1551</v>
      </c>
      <c r="G56" s="732" t="s">
        <v>741</v>
      </c>
      <c r="H56" s="732" t="s">
        <v>743</v>
      </c>
      <c r="I56" s="732" t="s">
        <v>769</v>
      </c>
      <c r="J56" s="732" t="s">
        <v>770</v>
      </c>
      <c r="K56" s="803" t="s">
        <v>1677</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90"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c r="A60" s="722" t="s">
        <v>1540</v>
      </c>
      <c r="B60" s="738"/>
      <c r="AP60"/>
      <c r="AQ60" s="766" t="s">
        <v>709</v>
      </c>
      <c r="AR60"/>
      <c r="AU60"/>
      <c r="AV60" s="314"/>
      <c r="AW60" s="314"/>
      <c r="AZ60" s="705" t="s">
        <v>709</v>
      </c>
      <c r="BF60" s="314"/>
    </row>
    <row r="61" spans="1:60">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K61" s="705">
        <v>0</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786">
        <v>0</v>
      </c>
      <c r="AE61" s="786">
        <v>0</v>
      </c>
      <c r="AF61" s="694">
        <f t="shared" ref="AF61:AJ66" si="22">$AC61*AF$52</f>
        <v>0</v>
      </c>
      <c r="AG61" s="694">
        <f t="shared" si="22"/>
        <v>0</v>
      </c>
      <c r="AH61" s="694">
        <f t="shared" si="22"/>
        <v>0</v>
      </c>
      <c r="AI61" s="694">
        <f t="shared" si="22"/>
        <v>0</v>
      </c>
      <c r="AJ61" s="694">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K62" s="705">
        <v>0</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786">
        <v>0</v>
      </c>
      <c r="AE62" s="786">
        <v>0</v>
      </c>
      <c r="AF62" s="694">
        <f t="shared" si="22"/>
        <v>0</v>
      </c>
      <c r="AG62" s="694">
        <f t="shared" si="22"/>
        <v>0</v>
      </c>
      <c r="AH62" s="694">
        <f t="shared" si="22"/>
        <v>0</v>
      </c>
      <c r="AI62" s="694">
        <f t="shared" si="22"/>
        <v>0</v>
      </c>
      <c r="AJ62" s="694">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3">D62</f>
        <v>CEC</v>
      </c>
      <c r="BC62" s="705" t="str">
        <f t="shared" ref="BC62:BC119" si="24">AS62</f>
        <v>Commercial - Cooling - Electricity - Central - Existing</v>
      </c>
      <c r="BD62" s="705" t="s">
        <v>647</v>
      </c>
      <c r="BF62" s="314" t="s">
        <v>1503</v>
      </c>
    </row>
    <row r="63" spans="1:60">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5">I63*0.1</f>
        <v>11.89645075632396</v>
      </c>
      <c r="K63" s="705">
        <v>0</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786">
        <v>0</v>
      </c>
      <c r="AE63" s="786">
        <v>0</v>
      </c>
      <c r="AF63" s="694">
        <f t="shared" si="22"/>
        <v>0</v>
      </c>
      <c r="AG63" s="694">
        <f t="shared" si="22"/>
        <v>0</v>
      </c>
      <c r="AH63" s="694">
        <f t="shared" si="22"/>
        <v>0</v>
      </c>
      <c r="AI63" s="694">
        <f t="shared" si="22"/>
        <v>0</v>
      </c>
      <c r="AJ63" s="694">
        <f t="shared" si="22"/>
        <v>0</v>
      </c>
      <c r="AK63" s="705">
        <f>AK62+1</f>
        <v>3</v>
      </c>
      <c r="AP63"/>
      <c r="AQ63" s="765" t="s">
        <v>1504</v>
      </c>
      <c r="AR63" t="s">
        <v>1365</v>
      </c>
      <c r="AS63" s="722" t="s">
        <v>1366</v>
      </c>
      <c r="AT63" s="705" t="s">
        <v>647</v>
      </c>
      <c r="AU63" s="705" t="s">
        <v>662</v>
      </c>
      <c r="AV63" s="314" t="s">
        <v>734</v>
      </c>
      <c r="AW63" s="314"/>
      <c r="AZ63" s="705" t="s">
        <v>1520</v>
      </c>
      <c r="BB63" s="705" t="str">
        <f t="shared" si="23"/>
        <v>CEC</v>
      </c>
      <c r="BC63" s="705" t="str">
        <f t="shared" si="24"/>
        <v>Commercial - Cooling - Electricity - Heat Pump - Existing</v>
      </c>
      <c r="BD63" s="705" t="s">
        <v>647</v>
      </c>
      <c r="BF63" s="314" t="s">
        <v>1503</v>
      </c>
    </row>
    <row r="64" spans="1:60">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5"/>
        <v>4.9654804773986427</v>
      </c>
      <c r="K64" s="705">
        <v>0</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786">
        <v>0</v>
      </c>
      <c r="AE64" s="786">
        <v>0</v>
      </c>
      <c r="AF64" s="694">
        <f t="shared" si="22"/>
        <v>0</v>
      </c>
      <c r="AG64" s="694">
        <f t="shared" si="22"/>
        <v>0</v>
      </c>
      <c r="AH64" s="694">
        <f t="shared" si="22"/>
        <v>0</v>
      </c>
      <c r="AI64" s="694">
        <f t="shared" si="22"/>
        <v>0</v>
      </c>
      <c r="AJ64" s="694">
        <f t="shared" si="22"/>
        <v>0</v>
      </c>
      <c r="AK64" s="705">
        <f t="shared" ref="AK64:AK121" si="26">AK63+1</f>
        <v>4</v>
      </c>
      <c r="AP64"/>
      <c r="AQ64" s="765" t="s">
        <v>1504</v>
      </c>
      <c r="AR64" t="s">
        <v>1367</v>
      </c>
      <c r="AS64" s="722" t="s">
        <v>1368</v>
      </c>
      <c r="AT64" s="705" t="s">
        <v>647</v>
      </c>
      <c r="AU64" s="705" t="s">
        <v>662</v>
      </c>
      <c r="AV64" s="314" t="s">
        <v>734</v>
      </c>
      <c r="AW64" s="314"/>
      <c r="AZ64" s="705" t="s">
        <v>1520</v>
      </c>
      <c r="BB64" s="705" t="str">
        <f t="shared" si="23"/>
        <v>CEC</v>
      </c>
      <c r="BC64" s="705" t="str">
        <f t="shared" si="24"/>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c r="I65" s="349">
        <f>(10/3.74)*I62</f>
        <v>244.61608495261538</v>
      </c>
      <c r="J65" s="349">
        <f>J62</f>
        <v>9.1486415772278153</v>
      </c>
      <c r="K65" s="705">
        <v>0</v>
      </c>
      <c r="L65" s="350">
        <v>0</v>
      </c>
      <c r="M65" s="349">
        <v>0</v>
      </c>
      <c r="N65" s="349">
        <v>0</v>
      </c>
      <c r="P65" s="696"/>
      <c r="Q65" s="694"/>
      <c r="R65" s="694">
        <f t="shared" si="19"/>
        <v>0</v>
      </c>
      <c r="S65" s="694">
        <f t="shared" si="20"/>
        <v>0.03</v>
      </c>
      <c r="T65" s="786">
        <f>MIN(1,$R65+T$53)</f>
        <v>0.5</v>
      </c>
      <c r="U65" s="786">
        <f t="shared" ref="U65:Y66" si="27">MIN(1,$R65+U$53)</f>
        <v>0.75</v>
      </c>
      <c r="V65" s="786">
        <f t="shared" si="27"/>
        <v>1</v>
      </c>
      <c r="W65" s="786">
        <f t="shared" si="27"/>
        <v>1</v>
      </c>
      <c r="X65" s="786">
        <f t="shared" si="27"/>
        <v>1</v>
      </c>
      <c r="Y65" s="786">
        <f t="shared" si="27"/>
        <v>1</v>
      </c>
      <c r="AA65" s="695"/>
      <c r="AB65" s="694"/>
      <c r="AC65" s="694">
        <f t="shared" si="21"/>
        <v>0</v>
      </c>
      <c r="AD65" s="786">
        <v>0</v>
      </c>
      <c r="AE65" s="786">
        <v>0</v>
      </c>
      <c r="AF65" s="694">
        <f t="shared" si="22"/>
        <v>0</v>
      </c>
      <c r="AG65" s="694">
        <f t="shared" si="22"/>
        <v>0</v>
      </c>
      <c r="AH65" s="694">
        <f t="shared" si="22"/>
        <v>0</v>
      </c>
      <c r="AI65" s="694">
        <f t="shared" si="22"/>
        <v>0</v>
      </c>
      <c r="AJ65" s="694">
        <f t="shared" si="22"/>
        <v>0</v>
      </c>
      <c r="AK65" s="705">
        <f t="shared" si="26"/>
        <v>5</v>
      </c>
      <c r="AQ65" s="765" t="s">
        <v>1504</v>
      </c>
      <c r="AR65" t="s">
        <v>1369</v>
      </c>
      <c r="AS65" s="722" t="s">
        <v>1370</v>
      </c>
      <c r="AT65" s="705" t="s">
        <v>647</v>
      </c>
      <c r="AU65" s="705" t="s">
        <v>662</v>
      </c>
      <c r="AV65" s="314" t="s">
        <v>734</v>
      </c>
      <c r="AW65" s="314"/>
      <c r="AZ65" s="705" t="s">
        <v>1520</v>
      </c>
      <c r="BB65" s="705" t="str">
        <f t="shared" si="23"/>
        <v>CEC</v>
      </c>
      <c r="BC65" s="705" t="str">
        <f t="shared" si="24"/>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c r="I66" s="349">
        <f>(10.68/10)*I65</f>
        <v>261.24997872939326</v>
      </c>
      <c r="J66" s="349">
        <f>(0.15/0.11)*J65</f>
        <v>12.475420332583383</v>
      </c>
      <c r="K66" s="705">
        <v>0</v>
      </c>
      <c r="L66" s="350">
        <v>0</v>
      </c>
      <c r="M66" s="349">
        <v>0</v>
      </c>
      <c r="N66" s="349">
        <v>0</v>
      </c>
      <c r="P66" s="696"/>
      <c r="Q66" s="694"/>
      <c r="R66" s="694">
        <f t="shared" si="19"/>
        <v>0</v>
      </c>
      <c r="S66" s="694">
        <f t="shared" si="20"/>
        <v>0.03</v>
      </c>
      <c r="T66" s="786">
        <f>MIN(1,$R66+T$53)</f>
        <v>0.5</v>
      </c>
      <c r="U66" s="786">
        <f t="shared" si="27"/>
        <v>0.75</v>
      </c>
      <c r="V66" s="786">
        <f t="shared" si="27"/>
        <v>1</v>
      </c>
      <c r="W66" s="786">
        <f t="shared" si="27"/>
        <v>1</v>
      </c>
      <c r="X66" s="786">
        <f t="shared" si="27"/>
        <v>1</v>
      </c>
      <c r="Y66" s="786">
        <f t="shared" si="27"/>
        <v>1</v>
      </c>
      <c r="AA66" s="695"/>
      <c r="AB66" s="694"/>
      <c r="AC66" s="694">
        <f t="shared" si="21"/>
        <v>0</v>
      </c>
      <c r="AD66" s="786">
        <v>0</v>
      </c>
      <c r="AE66" s="786">
        <v>0</v>
      </c>
      <c r="AF66" s="694">
        <f t="shared" si="22"/>
        <v>0</v>
      </c>
      <c r="AG66" s="694">
        <f t="shared" si="22"/>
        <v>0</v>
      </c>
      <c r="AH66" s="694">
        <f t="shared" si="22"/>
        <v>0</v>
      </c>
      <c r="AI66" s="694">
        <f t="shared" si="22"/>
        <v>0</v>
      </c>
      <c r="AJ66" s="694">
        <f t="shared" si="22"/>
        <v>0</v>
      </c>
      <c r="AK66" s="705">
        <f t="shared" si="26"/>
        <v>6</v>
      </c>
      <c r="AP66"/>
      <c r="AQ66" s="765" t="s">
        <v>1504</v>
      </c>
      <c r="AR66" t="s">
        <v>1371</v>
      </c>
      <c r="AS66" s="722" t="s">
        <v>1372</v>
      </c>
      <c r="AT66" s="705" t="s">
        <v>647</v>
      </c>
      <c r="AU66" s="705" t="s">
        <v>662</v>
      </c>
      <c r="AV66" s="314" t="s">
        <v>734</v>
      </c>
      <c r="AW66" s="314"/>
      <c r="AZ66" s="705" t="s">
        <v>1520</v>
      </c>
      <c r="BB66" s="705" t="str">
        <f t="shared" si="23"/>
        <v>CEC</v>
      </c>
      <c r="BC66" s="705" t="str">
        <f t="shared" si="24"/>
        <v>Commercial - Cooling - Electricity - Heat Pump - New</v>
      </c>
      <c r="BD66" s="705" t="s">
        <v>647</v>
      </c>
      <c r="BF66" s="314" t="s">
        <v>1503</v>
      </c>
    </row>
    <row r="67" spans="1:58">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6"/>
        <v>7</v>
      </c>
      <c r="AL67" s="705" t="str">
        <f>LEFT(B66,3)</f>
        <v>CEC</v>
      </c>
      <c r="AP67"/>
      <c r="AQ67" s="765" t="s">
        <v>709</v>
      </c>
      <c r="AR67"/>
      <c r="AS67" s="722"/>
      <c r="AV67" s="314"/>
      <c r="AW67" s="314"/>
      <c r="AZ67" s="705" t="s">
        <v>709</v>
      </c>
      <c r="BF67" s="314"/>
    </row>
    <row r="68" spans="1:58">
      <c r="A68" s="722" t="s">
        <v>1539</v>
      </c>
      <c r="B68" s="722"/>
      <c r="C68" s="743"/>
      <c r="D68" s="743"/>
      <c r="E68" s="738"/>
      <c r="F68" s="566"/>
      <c r="G68" s="738"/>
      <c r="H68" s="738"/>
      <c r="I68" s="349"/>
      <c r="J68" s="349"/>
      <c r="L68" s="745"/>
      <c r="M68" s="745"/>
      <c r="AK68" s="705">
        <f t="shared" si="26"/>
        <v>8</v>
      </c>
      <c r="AP68"/>
      <c r="AQ68" s="765" t="s">
        <v>709</v>
      </c>
      <c r="AS68" s="722"/>
      <c r="AW68" s="314"/>
      <c r="AZ68" s="705" t="s">
        <v>709</v>
      </c>
    </row>
    <row r="69" spans="1:58">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18.737888205447756</v>
      </c>
      <c r="I69" s="567">
        <f>I72</f>
        <v>179.45037756394217</v>
      </c>
      <c r="J69" s="349">
        <f t="shared" si="25"/>
        <v>17.945037756394218</v>
      </c>
      <c r="K69" s="705">
        <v>0</v>
      </c>
      <c r="L69" s="350">
        <f>Appliances!F14</f>
        <v>1</v>
      </c>
      <c r="M69" s="349">
        <f>L69*SUMIF($C$6:$J$6,C69,$C$44:$J$44)</f>
        <v>15.062139135812419</v>
      </c>
      <c r="N69" s="349">
        <f>M69*E69</f>
        <v>9.037283481487453</v>
      </c>
      <c r="P69" s="696"/>
      <c r="Q69" s="699"/>
      <c r="R69" s="694">
        <f>N69/SUMIF($D$61:$D$121,$D69,$N$61:$N$121)*(1+$P$55)</f>
        <v>0.76108785604744955</v>
      </c>
      <c r="S69" s="694">
        <f t="shared" ref="S69:Y74" si="28">MIN(1,$R69+S$52)</f>
        <v>0.79108785604744958</v>
      </c>
      <c r="T69" s="694">
        <f t="shared" si="28"/>
        <v>0.86108785604744953</v>
      </c>
      <c r="U69" s="694">
        <f t="shared" si="28"/>
        <v>1</v>
      </c>
      <c r="V69" s="694">
        <f t="shared" si="28"/>
        <v>1</v>
      </c>
      <c r="W69" s="694">
        <f t="shared" si="28"/>
        <v>1</v>
      </c>
      <c r="X69" s="694">
        <f t="shared" si="28"/>
        <v>1</v>
      </c>
      <c r="Y69" s="694">
        <f t="shared" si="28"/>
        <v>1</v>
      </c>
      <c r="AA69" s="696"/>
      <c r="AB69" s="694"/>
      <c r="AC69" s="694">
        <f>R69/(1+$P$55+$AA$55)</f>
        <v>0.74616456475240156</v>
      </c>
      <c r="AD69" s="786">
        <v>0</v>
      </c>
      <c r="AE69" s="786">
        <v>0</v>
      </c>
      <c r="AF69" s="694">
        <f t="shared" ref="AF69:AJ73" si="29">$AC69*AF$52</f>
        <v>0</v>
      </c>
      <c r="AG69" s="694">
        <f t="shared" si="29"/>
        <v>0</v>
      </c>
      <c r="AH69" s="694">
        <f t="shared" si="29"/>
        <v>0</v>
      </c>
      <c r="AI69" s="694">
        <f t="shared" si="29"/>
        <v>0</v>
      </c>
      <c r="AJ69" s="694">
        <f t="shared" si="29"/>
        <v>0</v>
      </c>
      <c r="AK69" s="705">
        <f t="shared" si="26"/>
        <v>9</v>
      </c>
      <c r="AP69"/>
      <c r="AQ69" s="765" t="s">
        <v>1504</v>
      </c>
      <c r="AR69" t="s">
        <v>1297</v>
      </c>
      <c r="AS69" s="722" t="s">
        <v>1298</v>
      </c>
      <c r="AT69" s="705" t="s">
        <v>647</v>
      </c>
      <c r="AU69" s="705" t="s">
        <v>662</v>
      </c>
      <c r="AV69" s="314" t="s">
        <v>734</v>
      </c>
      <c r="AW69" s="314"/>
      <c r="AZ69" s="705" t="s">
        <v>1520</v>
      </c>
      <c r="BB69" s="705" t="str">
        <f t="shared" si="23"/>
        <v>CEH</v>
      </c>
      <c r="BC69" s="705" t="str">
        <f t="shared" si="24"/>
        <v>Commercial - Space Heating - Coal - Existing</v>
      </c>
      <c r="BD69" s="705" t="s">
        <v>647</v>
      </c>
      <c r="BF69" s="314" t="s">
        <v>734</v>
      </c>
    </row>
    <row r="70" spans="1:58">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5"/>
        <v>3.1420618543499241</v>
      </c>
      <c r="K70" s="705">
        <v>0</v>
      </c>
      <c r="L70" s="350">
        <f>Appliances!F11</f>
        <v>1</v>
      </c>
      <c r="M70" s="349">
        <f>L70*SUMIF($C$6:$J$6,C70,$C$44:$J$44)</f>
        <v>2.7103061542120312</v>
      </c>
      <c r="N70" s="349">
        <f>M70*E70</f>
        <v>2.7103061542120312</v>
      </c>
      <c r="P70" s="696"/>
      <c r="Q70" s="694"/>
      <c r="R70" s="694">
        <f>N70/SUMIF($D$61:$D$121,$D70,$N$61:$N$121)*(1+$P$55)</f>
        <v>0.22825233980620116</v>
      </c>
      <c r="S70" s="694">
        <f t="shared" si="28"/>
        <v>0.25825233980620116</v>
      </c>
      <c r="T70" s="694">
        <f t="shared" si="28"/>
        <v>0.32825233980620117</v>
      </c>
      <c r="U70" s="694">
        <f t="shared" si="28"/>
        <v>0.52825233980620112</v>
      </c>
      <c r="V70" s="694">
        <f t="shared" si="28"/>
        <v>0.77825233980620123</v>
      </c>
      <c r="W70" s="694">
        <f t="shared" si="28"/>
        <v>1</v>
      </c>
      <c r="X70" s="694">
        <f t="shared" si="28"/>
        <v>1</v>
      </c>
      <c r="Y70" s="694">
        <f t="shared" si="28"/>
        <v>1</v>
      </c>
      <c r="AA70" s="696"/>
      <c r="AB70" s="694"/>
      <c r="AC70" s="694">
        <f>R70/(1+$P$55+$AA$55)</f>
        <v>0.22377680373156977</v>
      </c>
      <c r="AD70" s="786">
        <v>0</v>
      </c>
      <c r="AE70" s="786">
        <v>0</v>
      </c>
      <c r="AF70" s="694">
        <f t="shared" si="29"/>
        <v>0</v>
      </c>
      <c r="AG70" s="694">
        <f t="shared" si="29"/>
        <v>0</v>
      </c>
      <c r="AH70" s="694">
        <f t="shared" si="29"/>
        <v>0</v>
      </c>
      <c r="AI70" s="694">
        <f t="shared" si="29"/>
        <v>0</v>
      </c>
      <c r="AJ70" s="694">
        <f t="shared" si="29"/>
        <v>0</v>
      </c>
      <c r="AK70" s="705">
        <f t="shared" si="26"/>
        <v>10</v>
      </c>
      <c r="AP70"/>
      <c r="AQ70" s="765" t="s">
        <v>1504</v>
      </c>
      <c r="AR70" t="s">
        <v>1299</v>
      </c>
      <c r="AS70" s="722" t="s">
        <v>1300</v>
      </c>
      <c r="AT70" s="705" t="s">
        <v>647</v>
      </c>
      <c r="AU70" s="705" t="s">
        <v>662</v>
      </c>
      <c r="AV70" s="314" t="s">
        <v>734</v>
      </c>
      <c r="AW70" s="314"/>
      <c r="AZ70" s="705" t="s">
        <v>1520</v>
      </c>
      <c r="BB70" s="705" t="str">
        <f t="shared" si="23"/>
        <v>CEH</v>
      </c>
      <c r="BC70" s="705" t="str">
        <f t="shared" si="24"/>
        <v>Commercial - Space Heating - Electricity - Existing</v>
      </c>
      <c r="BD70" s="705" t="s">
        <v>647</v>
      </c>
      <c r="BF70" s="314" t="s">
        <v>1503</v>
      </c>
    </row>
    <row r="71" spans="1:58">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5"/>
        <v>4.9003487536247468</v>
      </c>
      <c r="K71" s="705">
        <v>0</v>
      </c>
      <c r="L71" s="350">
        <f>Appliances!F16</f>
        <v>1</v>
      </c>
      <c r="M71" s="349">
        <f>L71*SUMIF($C$6:$J$6,C71,$C$44:$J$44)</f>
        <v>0.3555332496863236</v>
      </c>
      <c r="N71" s="349">
        <f>M71*E71</f>
        <v>0.24531794228356327</v>
      </c>
      <c r="P71" s="696"/>
      <c r="Q71" s="694"/>
      <c r="R71" s="694">
        <f>N71/SUMIF($D$61:$D$121,$D71,$N$61:$N$121)*(1+$P$55)</f>
        <v>2.0659804146349367E-2</v>
      </c>
      <c r="S71" s="694">
        <f t="shared" si="28"/>
        <v>5.0659804146349366E-2</v>
      </c>
      <c r="T71" s="694">
        <f t="shared" si="28"/>
        <v>0.12065980414634937</v>
      </c>
      <c r="U71" s="694">
        <f t="shared" si="28"/>
        <v>0.32065980414634937</v>
      </c>
      <c r="V71" s="694">
        <f t="shared" si="28"/>
        <v>0.57065980414634943</v>
      </c>
      <c r="W71" s="694">
        <f t="shared" si="28"/>
        <v>0.87065980414634936</v>
      </c>
      <c r="X71" s="694">
        <f t="shared" si="28"/>
        <v>0.97065980414634934</v>
      </c>
      <c r="Y71" s="694">
        <f t="shared" si="28"/>
        <v>1</v>
      </c>
      <c r="AA71" s="696"/>
      <c r="AB71" s="694"/>
      <c r="AC71" s="694">
        <f>R71/(1+$P$55+$AA$55)</f>
        <v>2.0254709947401341E-2</v>
      </c>
      <c r="AD71" s="786">
        <v>0</v>
      </c>
      <c r="AE71" s="786">
        <v>0</v>
      </c>
      <c r="AF71" s="694">
        <f t="shared" si="29"/>
        <v>0</v>
      </c>
      <c r="AG71" s="694">
        <f t="shared" si="29"/>
        <v>0</v>
      </c>
      <c r="AH71" s="694">
        <f t="shared" si="29"/>
        <v>0</v>
      </c>
      <c r="AI71" s="694">
        <f t="shared" si="29"/>
        <v>0</v>
      </c>
      <c r="AJ71" s="694">
        <f t="shared" si="29"/>
        <v>0</v>
      </c>
      <c r="AK71" s="705">
        <f t="shared" si="26"/>
        <v>11</v>
      </c>
      <c r="AQ71" s="765" t="s">
        <v>1504</v>
      </c>
      <c r="AR71" t="s">
        <v>1301</v>
      </c>
      <c r="AS71" s="722" t="s">
        <v>1302</v>
      </c>
      <c r="AT71" s="705" t="s">
        <v>647</v>
      </c>
      <c r="AU71" s="705" t="s">
        <v>662</v>
      </c>
      <c r="AV71" s="314" t="s">
        <v>734</v>
      </c>
      <c r="AW71" s="314"/>
      <c r="AZ71" s="705" t="s">
        <v>1520</v>
      </c>
      <c r="BB71" s="705" t="str">
        <f t="shared" si="23"/>
        <v>CEH</v>
      </c>
      <c r="BC71" s="705" t="str">
        <f t="shared" si="24"/>
        <v>Commercial - Space Heating - Gas - Existing</v>
      </c>
      <c r="BD71" s="705" t="s">
        <v>647</v>
      </c>
      <c r="BF71" s="314" t="s">
        <v>734</v>
      </c>
    </row>
    <row r="72" spans="1:58">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c r="I72" s="349">
        <f>(10.68/1.87)*I70</f>
        <v>179.45037756394217</v>
      </c>
      <c r="J72" s="349">
        <f>I72*0.1</f>
        <v>17.945037756394218</v>
      </c>
      <c r="K72" s="705">
        <v>0</v>
      </c>
      <c r="L72" s="350">
        <v>0</v>
      </c>
      <c r="M72" s="349">
        <v>0</v>
      </c>
      <c r="N72" s="349">
        <v>0</v>
      </c>
      <c r="P72" s="696"/>
      <c r="Q72" s="694"/>
      <c r="R72" s="694">
        <f>N72/SUMIF($D$61:$D$121,$D72,$N$61:$N$121)*(1+$P$55)</f>
        <v>0</v>
      </c>
      <c r="S72" s="694">
        <f t="shared" si="28"/>
        <v>0.03</v>
      </c>
      <c r="T72" s="694">
        <f t="shared" si="28"/>
        <v>0.1</v>
      </c>
      <c r="U72" s="694">
        <f t="shared" si="28"/>
        <v>0.3</v>
      </c>
      <c r="V72" s="694">
        <f t="shared" si="28"/>
        <v>0.55000000000000004</v>
      </c>
      <c r="W72" s="694">
        <f t="shared" si="28"/>
        <v>0.85</v>
      </c>
      <c r="X72" s="694">
        <f t="shared" si="28"/>
        <v>0.95</v>
      </c>
      <c r="Y72" s="694">
        <f t="shared" si="28"/>
        <v>1</v>
      </c>
      <c r="AA72" s="696"/>
      <c r="AB72" s="694"/>
      <c r="AC72" s="694">
        <f>R72/(1+$P$55+$AA$55)</f>
        <v>0</v>
      </c>
      <c r="AD72" s="786">
        <v>0</v>
      </c>
      <c r="AE72" s="786">
        <v>0</v>
      </c>
      <c r="AF72" s="694">
        <f t="shared" si="29"/>
        <v>0</v>
      </c>
      <c r="AG72" s="694">
        <f t="shared" si="29"/>
        <v>0</v>
      </c>
      <c r="AH72" s="694">
        <f t="shared" si="29"/>
        <v>0</v>
      </c>
      <c r="AI72" s="694">
        <f t="shared" si="29"/>
        <v>0</v>
      </c>
      <c r="AJ72" s="694">
        <f t="shared" si="29"/>
        <v>0</v>
      </c>
      <c r="AK72" s="705">
        <f t="shared" si="26"/>
        <v>12</v>
      </c>
      <c r="AP72"/>
      <c r="AQ72" s="765" t="s">
        <v>1504</v>
      </c>
      <c r="AR72" t="s">
        <v>1303</v>
      </c>
      <c r="AS72" s="722" t="s">
        <v>1304</v>
      </c>
      <c r="AT72" s="705" t="s">
        <v>647</v>
      </c>
      <c r="AU72" s="705" t="s">
        <v>662</v>
      </c>
      <c r="AV72" s="314" t="s">
        <v>734</v>
      </c>
      <c r="AW72" s="314"/>
      <c r="AZ72" s="705" t="s">
        <v>1520</v>
      </c>
      <c r="BB72" s="705" t="str">
        <f t="shared" si="23"/>
        <v>CEH</v>
      </c>
      <c r="BC72" s="705" t="str">
        <f t="shared" si="24"/>
        <v>Commercial - Space Heating - Electricity - New</v>
      </c>
      <c r="BD72" s="705" t="s">
        <v>647</v>
      </c>
      <c r="BF72" s="314" t="s">
        <v>1503</v>
      </c>
    </row>
    <row r="73" spans="1:58">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c r="I73" s="781">
        <f>34.864360018767*Deflator!AD7</f>
        <v>49.003487536247462</v>
      </c>
      <c r="J73" s="486">
        <f>I73*0.1</f>
        <v>4.9003487536247468</v>
      </c>
      <c r="K73" s="705">
        <v>0</v>
      </c>
      <c r="L73" s="350">
        <v>0</v>
      </c>
      <c r="M73" s="349">
        <v>0</v>
      </c>
      <c r="N73" s="349">
        <v>0</v>
      </c>
      <c r="P73" s="696"/>
      <c r="Q73" s="694"/>
      <c r="R73" s="694">
        <f>N73/SUMIF($D$61:$D$121,$D73,$N$61:$N$121)*(1+$P$55)</f>
        <v>0</v>
      </c>
      <c r="S73" s="694">
        <f t="shared" si="28"/>
        <v>0.03</v>
      </c>
      <c r="T73" s="786">
        <f>MIN(1,$R73+T$53)</f>
        <v>0.5</v>
      </c>
      <c r="U73" s="786">
        <f t="shared" ref="U73:Y73" si="30">MIN(1,$R73+U$53)</f>
        <v>0.75</v>
      </c>
      <c r="V73" s="786">
        <f t="shared" si="30"/>
        <v>1</v>
      </c>
      <c r="W73" s="786">
        <f t="shared" si="30"/>
        <v>1</v>
      </c>
      <c r="X73" s="786">
        <f t="shared" si="30"/>
        <v>1</v>
      </c>
      <c r="Y73" s="786">
        <f t="shared" si="30"/>
        <v>1</v>
      </c>
      <c r="AA73" s="696"/>
      <c r="AB73" s="694"/>
      <c r="AC73" s="694">
        <f>R73/(1+$P$55+$AA$55)</f>
        <v>0</v>
      </c>
      <c r="AD73" s="786">
        <v>0</v>
      </c>
      <c r="AE73" s="786">
        <v>0</v>
      </c>
      <c r="AF73" s="694">
        <f t="shared" si="29"/>
        <v>0</v>
      </c>
      <c r="AG73" s="694">
        <f t="shared" si="29"/>
        <v>0</v>
      </c>
      <c r="AH73" s="694">
        <f t="shared" si="29"/>
        <v>0</v>
      </c>
      <c r="AI73" s="694">
        <f t="shared" si="29"/>
        <v>0</v>
      </c>
      <c r="AJ73" s="694">
        <f t="shared" si="29"/>
        <v>0</v>
      </c>
      <c r="AK73" s="705">
        <f t="shared" si="26"/>
        <v>13</v>
      </c>
      <c r="AP73"/>
      <c r="AQ73" s="765" t="s">
        <v>1504</v>
      </c>
      <c r="AR73" t="s">
        <v>1305</v>
      </c>
      <c r="AS73" s="722" t="s">
        <v>1306</v>
      </c>
      <c r="AT73" s="705" t="s">
        <v>647</v>
      </c>
      <c r="AU73" s="705" t="s">
        <v>662</v>
      </c>
      <c r="AV73" s="314" t="s">
        <v>734</v>
      </c>
      <c r="AW73" s="314"/>
      <c r="AZ73" s="705" t="s">
        <v>1520</v>
      </c>
      <c r="BB73" s="705" t="str">
        <f t="shared" si="23"/>
        <v>CEH</v>
      </c>
      <c r="BC73" s="705" t="str">
        <f t="shared" si="24"/>
        <v>Commercial - Space Heating - Gas - New</v>
      </c>
      <c r="BD73" s="705" t="s">
        <v>647</v>
      </c>
      <c r="BF73" s="314" t="s">
        <v>734</v>
      </c>
    </row>
    <row r="74" spans="1:58">
      <c r="A74" s="742" t="s">
        <v>1538</v>
      </c>
      <c r="F74" s="566"/>
      <c r="I74" s="349"/>
      <c r="J74" s="349"/>
      <c r="L74" s="733"/>
      <c r="M74" s="356">
        <f>SUM(M69:M71)</f>
        <v>18.127978539710774</v>
      </c>
      <c r="N74" s="356">
        <f>SUM(N69:N71)</f>
        <v>11.992907577983047</v>
      </c>
      <c r="S74" s="694">
        <f t="shared" si="28"/>
        <v>0.03</v>
      </c>
      <c r="T74" s="694">
        <f t="shared" si="28"/>
        <v>0.1</v>
      </c>
      <c r="U74" s="694">
        <f t="shared" si="28"/>
        <v>0.3</v>
      </c>
      <c r="V74" s="694">
        <f t="shared" si="28"/>
        <v>0.55000000000000004</v>
      </c>
      <c r="W74" s="694">
        <f t="shared" si="28"/>
        <v>0.85</v>
      </c>
      <c r="X74" s="694">
        <f t="shared" si="28"/>
        <v>0.95</v>
      </c>
      <c r="Y74" s="694">
        <f t="shared" si="28"/>
        <v>1</v>
      </c>
      <c r="AK74" s="705">
        <f t="shared" si="26"/>
        <v>14</v>
      </c>
      <c r="AL74" s="705" t="str">
        <f>LEFT(B73,3)</f>
        <v>CEH</v>
      </c>
      <c r="AP74"/>
      <c r="AQ74" s="765" t="s">
        <v>709</v>
      </c>
      <c r="AR74"/>
      <c r="AV74" s="314"/>
      <c r="AW74" s="314"/>
      <c r="AZ74" s="705" t="s">
        <v>709</v>
      </c>
      <c r="BF74" s="314"/>
    </row>
    <row r="75" spans="1:58">
      <c r="A75" s="722" t="s">
        <v>1541</v>
      </c>
      <c r="B75" s="722"/>
      <c r="C75" s="743"/>
      <c r="D75" s="743"/>
      <c r="E75" s="738"/>
      <c r="F75" s="566"/>
      <c r="G75" s="738"/>
      <c r="H75" s="738"/>
      <c r="I75" s="349"/>
      <c r="J75" s="349"/>
      <c r="K75" s="698"/>
      <c r="L75" s="745"/>
      <c r="M75" s="745"/>
      <c r="AK75" s="705">
        <f t="shared" si="26"/>
        <v>15</v>
      </c>
      <c r="AQ75" s="765" t="s">
        <v>709</v>
      </c>
      <c r="AR75"/>
      <c r="AS75" s="722"/>
      <c r="AV75" s="314"/>
      <c r="AW75" s="314"/>
      <c r="AZ75" s="705" t="s">
        <v>709</v>
      </c>
      <c r="BF75" s="314"/>
    </row>
    <row r="76" spans="1:58">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5"/>
        <v>17.662153776607365</v>
      </c>
      <c r="K76" s="705">
        <v>0</v>
      </c>
      <c r="L76" s="350">
        <f>Appliances!F34</f>
        <v>1</v>
      </c>
      <c r="M76" s="349">
        <f>L76*SUMIF($C$6:$J$6,C76,$C$45:$J$45)</f>
        <v>0.21722461939319382</v>
      </c>
      <c r="N76" s="349">
        <f>M76*E76</f>
        <v>0.19550215745387445</v>
      </c>
      <c r="P76" s="696"/>
      <c r="Q76" s="694"/>
      <c r="R76" s="694">
        <f>N76/SUMIF($D$61:$D$121,$D76,$N$61:$N$121)</f>
        <v>2.1812160533497223E-2</v>
      </c>
      <c r="S76" s="694">
        <f t="shared" ref="S76:Y77" si="31">MIN(1,$R76+S$52)</f>
        <v>5.1812160533497222E-2</v>
      </c>
      <c r="T76" s="694">
        <f t="shared" si="31"/>
        <v>0.12181216053349722</v>
      </c>
      <c r="U76" s="694">
        <f t="shared" si="31"/>
        <v>0.3218121605334972</v>
      </c>
      <c r="V76" s="694">
        <f t="shared" si="31"/>
        <v>0.57181216053349726</v>
      </c>
      <c r="W76" s="694">
        <f t="shared" si="31"/>
        <v>0.87181216053349719</v>
      </c>
      <c r="X76" s="694">
        <f t="shared" si="31"/>
        <v>0.97181216053349717</v>
      </c>
      <c r="Y76" s="694">
        <f t="shared" si="31"/>
        <v>1</v>
      </c>
      <c r="AA76" s="696"/>
      <c r="AB76" s="694"/>
      <c r="AC76" s="694">
        <f>R76/(1+$P$55+$AA$55)</f>
        <v>2.1384471111271786E-2</v>
      </c>
      <c r="AD76" s="786">
        <v>0</v>
      </c>
      <c r="AE76" s="786">
        <v>0</v>
      </c>
      <c r="AF76" s="694">
        <f t="shared" ref="AF76:AI78" si="32">$AC76*AF$52</f>
        <v>0</v>
      </c>
      <c r="AG76" s="694">
        <f t="shared" si="32"/>
        <v>0</v>
      </c>
      <c r="AH76" s="694">
        <f t="shared" si="32"/>
        <v>0</v>
      </c>
      <c r="AI76" s="694">
        <f t="shared" si="32"/>
        <v>0</v>
      </c>
      <c r="AJ76" s="694">
        <f>$AA76*AJ$52</f>
        <v>0</v>
      </c>
      <c r="AK76" s="705">
        <f t="shared" si="26"/>
        <v>16</v>
      </c>
      <c r="AP76"/>
      <c r="AQ76" s="765" t="s">
        <v>1504</v>
      </c>
      <c r="AR76" t="s">
        <v>1307</v>
      </c>
      <c r="AS76" s="722" t="s">
        <v>1308</v>
      </c>
      <c r="AT76" s="705" t="s">
        <v>647</v>
      </c>
      <c r="AU76" s="705" t="s">
        <v>662</v>
      </c>
      <c r="AV76" s="314" t="s">
        <v>734</v>
      </c>
      <c r="AW76" s="314"/>
      <c r="AZ76" s="705" t="s">
        <v>1520</v>
      </c>
      <c r="BB76" s="705" t="str">
        <f t="shared" si="23"/>
        <v>CEK</v>
      </c>
      <c r="BC76" s="705" t="str">
        <f t="shared" si="24"/>
        <v>Commercial - Cooking - Oil LPG - Existing</v>
      </c>
      <c r="BD76" s="705" t="s">
        <v>647</v>
      </c>
      <c r="BF76" s="314" t="s">
        <v>734</v>
      </c>
    </row>
    <row r="77" spans="1:58">
      <c r="A77" s="722" t="str">
        <f>A$45&amp;" - "&amp;VLOOKUP(RIGHT(C77,3),NameConv!$E$3:$F$16,2,FALSE)&amp;" - Existing"</f>
        <v>Commercial - Cooking - Electricity - Existing</v>
      </c>
      <c r="B77" s="722" t="str">
        <f t="shared" ref="B77:B78" si="33">D77&amp;RIGHT(C77,3)&amp;"-E"</f>
        <v>CEKELC-E</v>
      </c>
      <c r="C77" s="723" t="str">
        <f t="shared" ref="C77" si="34">$E$6</f>
        <v>COMELC</v>
      </c>
      <c r="D77" s="723" t="str">
        <f t="shared" ref="D77:D78" si="35">$B$45</f>
        <v>CEK</v>
      </c>
      <c r="E77" s="347">
        <f>Appliances!J33</f>
        <v>1</v>
      </c>
      <c r="F77" s="566">
        <f ca="1">SUMIF(AFA!$B$3:$S$3,D77,AFA!$B$4:$J$4)</f>
        <v>0.68689999999999996</v>
      </c>
      <c r="G77" s="348">
        <v>15</v>
      </c>
      <c r="H77" s="349">
        <f t="shared" ref="H77:H78" ca="1" si="36">(N77/F77)*(1+$H$55)</f>
        <v>12.742239053244216</v>
      </c>
      <c r="I77" s="488">
        <f>I76</f>
        <v>176.62153776607363</v>
      </c>
      <c r="J77" s="349">
        <f t="shared" si="25"/>
        <v>17.662153776607365</v>
      </c>
      <c r="K77" s="705">
        <v>0</v>
      </c>
      <c r="L77" s="350">
        <f>Appliances!F33</f>
        <v>1</v>
      </c>
      <c r="M77" s="349">
        <f t="shared" ref="M77:M78" si="37">L77*SUMIF($C$6:$J$6,C77,$C$45:$J$45)</f>
        <v>8.7526440056734511</v>
      </c>
      <c r="N77" s="349">
        <f t="shared" ref="N77:N78" si="38">M77*E77</f>
        <v>8.7526440056734511</v>
      </c>
      <c r="P77" s="696"/>
      <c r="Q77" s="694"/>
      <c r="R77" s="694">
        <f t="shared" ref="R77:R78" si="39">N77/SUMIF($D$61:$D$121,$D77,$N$61:$N$121)</f>
        <v>0.97653181238853881</v>
      </c>
      <c r="S77" s="694">
        <f t="shared" si="31"/>
        <v>1</v>
      </c>
      <c r="T77" s="694">
        <f t="shared" si="31"/>
        <v>1</v>
      </c>
      <c r="U77" s="694">
        <f t="shared" si="31"/>
        <v>1</v>
      </c>
      <c r="V77" s="694">
        <f t="shared" si="31"/>
        <v>1</v>
      </c>
      <c r="W77" s="694">
        <f t="shared" si="31"/>
        <v>1</v>
      </c>
      <c r="X77" s="694">
        <f t="shared" si="31"/>
        <v>1</v>
      </c>
      <c r="Y77" s="694">
        <f t="shared" si="31"/>
        <v>1</v>
      </c>
      <c r="AA77" s="696"/>
      <c r="AB77" s="694"/>
      <c r="AC77" s="694">
        <f>R77/(1+$P$55+$AA$55)</f>
        <v>0.95738412979268506</v>
      </c>
      <c r="AD77" s="786">
        <v>0</v>
      </c>
      <c r="AE77" s="786">
        <v>0</v>
      </c>
      <c r="AF77" s="694">
        <f t="shared" si="32"/>
        <v>0</v>
      </c>
      <c r="AG77" s="694">
        <f t="shared" si="32"/>
        <v>0</v>
      </c>
      <c r="AH77" s="694">
        <f t="shared" si="32"/>
        <v>0</v>
      </c>
      <c r="AI77" s="694">
        <f t="shared" si="32"/>
        <v>0</v>
      </c>
      <c r="AJ77" s="694">
        <f>$AA77*AJ$52</f>
        <v>0</v>
      </c>
      <c r="AK77" s="705">
        <f t="shared" si="26"/>
        <v>17</v>
      </c>
      <c r="AP77"/>
      <c r="AQ77" s="765" t="s">
        <v>1504</v>
      </c>
      <c r="AR77" t="s">
        <v>1309</v>
      </c>
      <c r="AS77" s="722" t="s">
        <v>1310</v>
      </c>
      <c r="AT77" s="705" t="s">
        <v>647</v>
      </c>
      <c r="AU77" s="705" t="s">
        <v>662</v>
      </c>
      <c r="AV77" s="314" t="s">
        <v>734</v>
      </c>
      <c r="AW77" s="314"/>
      <c r="AZ77" s="705" t="s">
        <v>1520</v>
      </c>
      <c r="BB77" s="705" t="str">
        <f t="shared" si="23"/>
        <v>CEK</v>
      </c>
      <c r="BC77" s="705" t="str">
        <f t="shared" si="24"/>
        <v>Commercial - Cooking - Electricity - Existing</v>
      </c>
      <c r="BD77" s="705" t="s">
        <v>647</v>
      </c>
      <c r="BF77" s="314" t="s">
        <v>1503</v>
      </c>
    </row>
    <row r="78" spans="1:58">
      <c r="A78" s="722" t="str">
        <f>A$45&amp;" - "&amp;VLOOKUP(RIGHT(C78,3),NameConv!$E$3:$F$16,2,FALSE)&amp;" - Existing"</f>
        <v>Commercial - Cooking - Coal - Existing</v>
      </c>
      <c r="B78" s="722" t="str">
        <f t="shared" si="33"/>
        <v>CEKCOA-E</v>
      </c>
      <c r="C78" s="723" t="str">
        <f>$C$6</f>
        <v>COMCOA</v>
      </c>
      <c r="D78" s="723" t="str">
        <f t="shared" si="35"/>
        <v>CEK</v>
      </c>
      <c r="E78" s="347">
        <f>Appliances!J36</f>
        <v>0.75</v>
      </c>
      <c r="F78" s="566">
        <f ca="1">SUMIF(AFA!$B$3:$S$3,D78,AFA!$B$4:$J$4)</f>
        <v>0.68689999999999996</v>
      </c>
      <c r="G78" s="348">
        <v>15</v>
      </c>
      <c r="H78" s="349">
        <f t="shared" ca="1" si="36"/>
        <v>2.1608607767162974E-2</v>
      </c>
      <c r="I78" s="488">
        <f>I77</f>
        <v>176.62153776607363</v>
      </c>
      <c r="J78" s="349">
        <f t="shared" si="25"/>
        <v>17.662153776607365</v>
      </c>
      <c r="K78" s="705">
        <v>0</v>
      </c>
      <c r="L78" s="350">
        <f>Appliances!F36</f>
        <v>1</v>
      </c>
      <c r="M78" s="349">
        <f t="shared" si="37"/>
        <v>1.9790603567018995E-2</v>
      </c>
      <c r="N78" s="349">
        <f t="shared" si="38"/>
        <v>1.4842952675264247E-2</v>
      </c>
      <c r="P78" s="696"/>
      <c r="Q78" s="694"/>
      <c r="R78" s="694">
        <f t="shared" si="39"/>
        <v>1.6560270779638379E-3</v>
      </c>
      <c r="S78" s="694">
        <f>R78</f>
        <v>1.6560270779638379E-3</v>
      </c>
      <c r="T78" s="694">
        <f t="shared" ref="T78:Y78" si="40">S78</f>
        <v>1.6560270779638379E-3</v>
      </c>
      <c r="U78" s="694">
        <f t="shared" si="40"/>
        <v>1.6560270779638379E-3</v>
      </c>
      <c r="V78" s="694">
        <f t="shared" si="40"/>
        <v>1.6560270779638379E-3</v>
      </c>
      <c r="W78" s="694">
        <f t="shared" si="40"/>
        <v>1.6560270779638379E-3</v>
      </c>
      <c r="X78" s="694">
        <f t="shared" si="40"/>
        <v>1.6560270779638379E-3</v>
      </c>
      <c r="Y78" s="694">
        <f t="shared" si="40"/>
        <v>1.6560270779638379E-3</v>
      </c>
      <c r="AA78" s="696"/>
      <c r="AB78" s="694"/>
      <c r="AC78" s="694">
        <f>R78/(1+$P$55+$AA$55)</f>
        <v>1.6235559587880763E-3</v>
      </c>
      <c r="AD78" s="786">
        <v>0</v>
      </c>
      <c r="AE78" s="786">
        <v>0</v>
      </c>
      <c r="AF78" s="694">
        <f t="shared" si="32"/>
        <v>0</v>
      </c>
      <c r="AG78" s="694">
        <f t="shared" si="32"/>
        <v>0</v>
      </c>
      <c r="AH78" s="694">
        <f t="shared" si="32"/>
        <v>0</v>
      </c>
      <c r="AI78" s="694">
        <f t="shared" si="32"/>
        <v>0</v>
      </c>
      <c r="AJ78" s="694">
        <f>$AA78*AJ$52</f>
        <v>0</v>
      </c>
      <c r="AK78" s="705">
        <f t="shared" si="26"/>
        <v>18</v>
      </c>
      <c r="AP78"/>
      <c r="AQ78" s="765" t="s">
        <v>1504</v>
      </c>
      <c r="AR78" t="s">
        <v>1311</v>
      </c>
      <c r="AS78" s="722" t="s">
        <v>1312</v>
      </c>
      <c r="AT78" s="705" t="s">
        <v>647</v>
      </c>
      <c r="AU78" s="705" t="s">
        <v>662</v>
      </c>
      <c r="AV78" s="314" t="s">
        <v>734</v>
      </c>
      <c r="AW78" s="314"/>
      <c r="AZ78" s="705" t="s">
        <v>1520</v>
      </c>
      <c r="BB78" s="705" t="str">
        <f t="shared" si="23"/>
        <v>CEK</v>
      </c>
      <c r="BC78" s="705" t="str">
        <f t="shared" si="24"/>
        <v>Commercial - Cooking - Coal - Existing</v>
      </c>
      <c r="BD78" s="705" t="s">
        <v>647</v>
      </c>
      <c r="BF78" s="314" t="s">
        <v>734</v>
      </c>
    </row>
    <row r="79" spans="1:58">
      <c r="A79" s="742" t="s">
        <v>1538</v>
      </c>
      <c r="F79" s="566"/>
      <c r="I79" s="349"/>
      <c r="J79" s="349"/>
      <c r="L79" s="733">
        <f>SUM(L76)</f>
        <v>1</v>
      </c>
      <c r="M79" s="356">
        <f>SUM(M76:M78)</f>
        <v>8.9896592286336645</v>
      </c>
      <c r="N79" s="356">
        <f>SUM(N76:N78)</f>
        <v>8.9629891158025909</v>
      </c>
      <c r="AD79" s="694"/>
      <c r="AE79" s="694"/>
      <c r="AF79" s="694"/>
      <c r="AG79" s="694"/>
      <c r="AH79" s="694"/>
      <c r="AI79" s="694"/>
      <c r="AK79" s="705">
        <f t="shared" si="26"/>
        <v>19</v>
      </c>
      <c r="AL79" s="705" t="str">
        <f>LEFT(B78,3)</f>
        <v>CEK</v>
      </c>
      <c r="AP79"/>
      <c r="AQ79" s="765" t="s">
        <v>709</v>
      </c>
      <c r="AR79"/>
      <c r="AV79" s="314"/>
      <c r="AW79" s="314"/>
      <c r="AZ79" s="705" t="s">
        <v>709</v>
      </c>
      <c r="BF79" s="314"/>
    </row>
    <row r="80" spans="1:58">
      <c r="A80" s="722" t="s">
        <v>1542</v>
      </c>
      <c r="B80" s="722"/>
      <c r="C80" s="743"/>
      <c r="D80" s="743"/>
      <c r="E80" s="738"/>
      <c r="F80" s="566"/>
      <c r="G80" s="738"/>
      <c r="H80" s="738"/>
      <c r="I80" s="349"/>
      <c r="J80" s="349"/>
      <c r="K80" s="698"/>
      <c r="L80" s="745"/>
      <c r="M80" s="745"/>
      <c r="AK80" s="705">
        <f t="shared" si="26"/>
        <v>20</v>
      </c>
      <c r="AP80"/>
      <c r="AQ80" s="765" t="s">
        <v>709</v>
      </c>
      <c r="AR80"/>
      <c r="AS80" s="722"/>
      <c r="AV80" s="314"/>
      <c r="AW80" s="314"/>
      <c r="AZ80" s="705" t="s">
        <v>709</v>
      </c>
      <c r="BF80" s="314"/>
    </row>
    <row r="81" spans="1:58">
      <c r="A81" s="722" t="str">
        <f>A$46&amp;" - "&amp;VLOOKUP(RIGHT(C81,3),NameConv!$E$3:$F$16,2,FALSE)&amp;" - CFL - Existing"</f>
        <v>Commercial - Lighting - Electricity - CFL - Existing</v>
      </c>
      <c r="B81" s="722" t="str">
        <f>D81&amp;RIGHT(C81,3)&amp;"CFL-E"</f>
        <v>CELELCCFL-E</v>
      </c>
      <c r="C81" s="723" t="str">
        <f t="shared" ref="C81:C86" si="41">$E$6</f>
        <v>COMELC</v>
      </c>
      <c r="D81" s="723" t="str">
        <f t="shared" ref="D81:D86" si="42">$B$46</f>
        <v>CEL</v>
      </c>
      <c r="E81" s="347">
        <f>Appliances!J68</f>
        <v>4</v>
      </c>
      <c r="F81" s="566">
        <f ca="1">SUMIF(AFA!$B$3:$S$3,D81,AFA!$B$4:$J$4)</f>
        <v>0.55200000000000005</v>
      </c>
      <c r="G81" s="348">
        <v>5</v>
      </c>
      <c r="H81" s="349">
        <f t="shared" ref="H81:H85" ca="1" si="43">(N81/F81)*(1+$H$55)</f>
        <v>10.678329345719563</v>
      </c>
      <c r="I81" s="780">
        <f>2.52021843691898*Deflator!AD7</f>
        <v>3.5422848059078738</v>
      </c>
      <c r="J81" s="349">
        <f t="shared" si="25"/>
        <v>0.35422848059078738</v>
      </c>
      <c r="K81" s="705">
        <v>0</v>
      </c>
      <c r="L81" s="350">
        <f>Appliances!F68</f>
        <v>0.06</v>
      </c>
      <c r="M81" s="349">
        <f>L81*SUMIF($C$6:$J$6,C81,$C$46:$J$46)</f>
        <v>1.4736094497092997</v>
      </c>
      <c r="N81" s="349">
        <f>M81*E81</f>
        <v>5.894437798837199</v>
      </c>
      <c r="P81" s="696"/>
      <c r="Q81" s="694"/>
      <c r="R81" s="694">
        <f t="shared" ref="R81:R86" si="44">N81/SUMIF($D$61:$D$121,$D81,$N$61:$N$121)*(1+$P$55)</f>
        <v>5.3274725274725265E-2</v>
      </c>
      <c r="S81" s="694">
        <f t="shared" ref="S81:Y84" si="45">MIN(1,$R81+S$52)</f>
        <v>8.3274725274725264E-2</v>
      </c>
      <c r="T81" s="694">
        <f t="shared" si="45"/>
        <v>0.15327472527472527</v>
      </c>
      <c r="U81" s="694">
        <f t="shared" si="45"/>
        <v>0.35327472527472525</v>
      </c>
      <c r="V81" s="694">
        <f t="shared" si="45"/>
        <v>0.60327472527472525</v>
      </c>
      <c r="W81" s="694">
        <f t="shared" si="45"/>
        <v>0.9032747252747253</v>
      </c>
      <c r="X81" s="694">
        <f t="shared" si="45"/>
        <v>1</v>
      </c>
      <c r="Y81" s="694">
        <f t="shared" si="45"/>
        <v>1</v>
      </c>
      <c r="AA81" s="696"/>
      <c r="AB81" s="694"/>
      <c r="AC81" s="694">
        <f t="shared" ref="AC81:AC87" si="46">R81/(1+$P$55+$AA$55)</f>
        <v>5.22301228183581E-2</v>
      </c>
      <c r="AD81" s="786">
        <v>0</v>
      </c>
      <c r="AE81" s="786">
        <v>0</v>
      </c>
      <c r="AF81" s="694">
        <f t="shared" ref="AF81:AI84" si="47">$AC81*AF$52</f>
        <v>0</v>
      </c>
      <c r="AG81" s="694">
        <f t="shared" si="47"/>
        <v>0</v>
      </c>
      <c r="AH81" s="694">
        <f t="shared" si="47"/>
        <v>0</v>
      </c>
      <c r="AI81" s="694">
        <f t="shared" si="47"/>
        <v>0</v>
      </c>
      <c r="AJ81" s="694">
        <f>$AA81*AJ$52</f>
        <v>0</v>
      </c>
      <c r="AK81" s="705">
        <f t="shared" si="26"/>
        <v>21</v>
      </c>
      <c r="AP81"/>
      <c r="AQ81" s="765" t="s">
        <v>1504</v>
      </c>
      <c r="AR81" t="s">
        <v>1373</v>
      </c>
      <c r="AS81" s="722" t="s">
        <v>1374</v>
      </c>
      <c r="AT81" s="705" t="s">
        <v>647</v>
      </c>
      <c r="AU81" s="705" t="s">
        <v>662</v>
      </c>
      <c r="AV81" s="314" t="s">
        <v>734</v>
      </c>
      <c r="AW81" s="314"/>
      <c r="AZ81" s="705" t="s">
        <v>1520</v>
      </c>
      <c r="BB81" s="705" t="str">
        <f t="shared" si="23"/>
        <v>CEL</v>
      </c>
      <c r="BC81" s="705" t="str">
        <f t="shared" si="24"/>
        <v>Commercial - Lighting - Electricity - CFL - Existing</v>
      </c>
      <c r="BD81" s="705" t="s">
        <v>647</v>
      </c>
      <c r="BF81" s="314" t="s">
        <v>1503</v>
      </c>
    </row>
    <row r="82" spans="1:58">
      <c r="A82" s="722" t="str">
        <f>A$46&amp;" - "&amp;VLOOKUP(RIGHT(C82,3),NameConv!$E$3:$F$16,2,FALSE)&amp;" - FLU - Existing"</f>
        <v>Commercial - Lighting - Electricity - FLU - Existing</v>
      </c>
      <c r="B82" s="722" t="str">
        <f>D82&amp;RIGHT(C82,3)&amp;"FLU-E"</f>
        <v>CELELCFLU-E</v>
      </c>
      <c r="C82" s="723" t="str">
        <f t="shared" si="41"/>
        <v>COMELC</v>
      </c>
      <c r="D82" s="723" t="str">
        <f t="shared" si="42"/>
        <v>CEL</v>
      </c>
      <c r="E82" s="347">
        <f>Appliances!J69</f>
        <v>4.5</v>
      </c>
      <c r="F82" s="566">
        <f ca="1">SUMIF(AFA!$B$3:$S$3,D82,AFA!$B$4:$J$4)</f>
        <v>0.55200000000000005</v>
      </c>
      <c r="G82" s="570">
        <v>5</v>
      </c>
      <c r="H82" s="349">
        <f t="shared" ca="1" si="43"/>
        <v>140.15307266256926</v>
      </c>
      <c r="I82" s="569">
        <f>('Technology costs'!J15/'Technology costs'!J14)*COM_2017!I81</f>
        <v>2.9545163093523632</v>
      </c>
      <c r="J82" s="349">
        <f t="shared" si="25"/>
        <v>0.29545163093523635</v>
      </c>
      <c r="K82" s="705">
        <v>0</v>
      </c>
      <c r="L82" s="350">
        <f>Appliances!F69</f>
        <v>0.7</v>
      </c>
      <c r="M82" s="349">
        <f>L82*SUMIF($C$6:$J$6,C82,$C$46:$J$46)</f>
        <v>17.192110246608497</v>
      </c>
      <c r="N82" s="349">
        <f t="shared" ref="N82:N86" si="48">M82*E82</f>
        <v>77.364496109738241</v>
      </c>
      <c r="P82" s="696"/>
      <c r="Q82" s="694"/>
      <c r="R82" s="694">
        <f t="shared" si="44"/>
        <v>0.69923076923076921</v>
      </c>
      <c r="S82" s="694">
        <f t="shared" si="45"/>
        <v>0.72923076923076924</v>
      </c>
      <c r="T82" s="694">
        <f t="shared" si="45"/>
        <v>0.79923076923076919</v>
      </c>
      <c r="U82" s="694">
        <f t="shared" si="45"/>
        <v>0.99923076923076914</v>
      </c>
      <c r="V82" s="694">
        <f t="shared" si="45"/>
        <v>1</v>
      </c>
      <c r="W82" s="694">
        <f t="shared" si="45"/>
        <v>1</v>
      </c>
      <c r="X82" s="694">
        <f t="shared" si="45"/>
        <v>1</v>
      </c>
      <c r="Y82" s="694">
        <f t="shared" si="45"/>
        <v>1</v>
      </c>
      <c r="AA82" s="696"/>
      <c r="AB82" s="694"/>
      <c r="AC82" s="694">
        <f t="shared" si="46"/>
        <v>0.68552036199095023</v>
      </c>
      <c r="AD82" s="786">
        <v>0</v>
      </c>
      <c r="AE82" s="786">
        <v>0</v>
      </c>
      <c r="AF82" s="694">
        <f t="shared" si="47"/>
        <v>0</v>
      </c>
      <c r="AG82" s="694">
        <f t="shared" si="47"/>
        <v>0</v>
      </c>
      <c r="AH82" s="694">
        <f t="shared" si="47"/>
        <v>0</v>
      </c>
      <c r="AI82" s="694">
        <f t="shared" si="47"/>
        <v>0</v>
      </c>
      <c r="AJ82" s="694">
        <f>$AA82*AJ$52</f>
        <v>0</v>
      </c>
      <c r="AK82" s="705">
        <f t="shared" si="26"/>
        <v>22</v>
      </c>
      <c r="AQ82" s="765" t="s">
        <v>1504</v>
      </c>
      <c r="AR82" t="s">
        <v>1375</v>
      </c>
      <c r="AS82" s="722" t="s">
        <v>1376</v>
      </c>
      <c r="AT82" s="705" t="s">
        <v>647</v>
      </c>
      <c r="AU82" s="705" t="s">
        <v>662</v>
      </c>
      <c r="AV82" s="314" t="s">
        <v>734</v>
      </c>
      <c r="AW82" s="314"/>
      <c r="AZ82" s="705" t="s">
        <v>1520</v>
      </c>
      <c r="BB82" s="705" t="str">
        <f t="shared" si="23"/>
        <v>CEL</v>
      </c>
      <c r="BC82" s="705" t="str">
        <f t="shared" si="24"/>
        <v>Commercial - Lighting - Electricity - FLU - Existing</v>
      </c>
      <c r="BD82" s="705" t="s">
        <v>647</v>
      </c>
      <c r="BF82" s="314" t="s">
        <v>1503</v>
      </c>
    </row>
    <row r="83" spans="1:58">
      <c r="A83" s="722" t="str">
        <f>A$46&amp;" - "&amp;VLOOKUP(RIGHT(C83,3),NameConv!$E$3:$F$16,2,FALSE)&amp;" - HAL - Existing"</f>
        <v>Commercial - Lighting - Electricity - HAL - Existing</v>
      </c>
      <c r="B83" s="722" t="str">
        <f>D83&amp;RIGHT(C83,3)&amp;"HAL-E"</f>
        <v>CELELCHAL-E</v>
      </c>
      <c r="C83" s="723" t="str">
        <f t="shared" si="41"/>
        <v>COMELC</v>
      </c>
      <c r="D83" s="723" t="str">
        <f t="shared" si="42"/>
        <v>CEL</v>
      </c>
      <c r="E83" s="347">
        <f>Appliances!J70</f>
        <v>2</v>
      </c>
      <c r="F83" s="566">
        <f ca="1">SUMIF(AFA!$B$3:$S$3,D83,AFA!$B$4:$J$4)</f>
        <v>0.55200000000000005</v>
      </c>
      <c r="G83" s="570">
        <v>5</v>
      </c>
      <c r="H83" s="349">
        <f t="shared" ca="1" si="43"/>
        <v>1.7797215576199272</v>
      </c>
      <c r="I83" s="569">
        <f>('Technology costs'!J16/'Technology costs'!J14)*COM_2017!I81</f>
        <v>1.0658202070873248</v>
      </c>
      <c r="J83" s="349">
        <f t="shared" si="25"/>
        <v>0.10658202070873249</v>
      </c>
      <c r="K83" s="705">
        <v>0</v>
      </c>
      <c r="L83" s="350">
        <f>Appliances!F70</f>
        <v>0.02</v>
      </c>
      <c r="M83" s="349">
        <f>L83*SUMIF($C$6:$J$6,C83,$C$46:$J$46)</f>
        <v>0.49120314990309993</v>
      </c>
      <c r="N83" s="349">
        <f t="shared" si="48"/>
        <v>0.98240629980619987</v>
      </c>
      <c r="P83" s="696"/>
      <c r="Q83" s="694"/>
      <c r="R83" s="694">
        <f t="shared" si="44"/>
        <v>8.8791208791208793E-3</v>
      </c>
      <c r="S83" s="694">
        <f t="shared" si="45"/>
        <v>3.8879120879120876E-2</v>
      </c>
      <c r="T83" s="694">
        <f t="shared" si="45"/>
        <v>0.10887912087912088</v>
      </c>
      <c r="U83" s="694">
        <f t="shared" si="45"/>
        <v>0.30887912087912089</v>
      </c>
      <c r="V83" s="694">
        <f t="shared" si="45"/>
        <v>0.55887912087912095</v>
      </c>
      <c r="W83" s="694">
        <f t="shared" si="45"/>
        <v>0.85887912087912088</v>
      </c>
      <c r="X83" s="694">
        <f t="shared" si="45"/>
        <v>0.95887912087912086</v>
      </c>
      <c r="Y83" s="694">
        <f t="shared" si="45"/>
        <v>1</v>
      </c>
      <c r="AA83" s="696"/>
      <c r="AB83" s="694"/>
      <c r="AC83" s="694">
        <f t="shared" si="46"/>
        <v>8.7050204697263524E-3</v>
      </c>
      <c r="AD83" s="786">
        <v>0</v>
      </c>
      <c r="AE83" s="786">
        <v>0</v>
      </c>
      <c r="AF83" s="694">
        <f t="shared" si="47"/>
        <v>0</v>
      </c>
      <c r="AG83" s="694">
        <f t="shared" si="47"/>
        <v>0</v>
      </c>
      <c r="AH83" s="694">
        <f t="shared" si="47"/>
        <v>0</v>
      </c>
      <c r="AI83" s="694">
        <f t="shared" si="47"/>
        <v>0</v>
      </c>
      <c r="AJ83" s="694">
        <f>$AA83*AJ$52</f>
        <v>0</v>
      </c>
      <c r="AK83" s="705">
        <f t="shared" si="26"/>
        <v>23</v>
      </c>
      <c r="AP83"/>
      <c r="AQ83" s="765" t="s">
        <v>1504</v>
      </c>
      <c r="AR83" t="s">
        <v>1377</v>
      </c>
      <c r="AS83" s="722" t="s">
        <v>1378</v>
      </c>
      <c r="AT83" s="705" t="s">
        <v>647</v>
      </c>
      <c r="AU83" s="705" t="s">
        <v>662</v>
      </c>
      <c r="AV83" s="314" t="s">
        <v>734</v>
      </c>
      <c r="AW83" s="314"/>
      <c r="AZ83" s="705" t="s">
        <v>1520</v>
      </c>
      <c r="BB83" s="705" t="str">
        <f t="shared" si="23"/>
        <v>CEL</v>
      </c>
      <c r="BC83" s="705" t="str">
        <f t="shared" si="24"/>
        <v>Commercial - Lighting - Electricity - HAL - Existing</v>
      </c>
      <c r="BD83" s="705" t="s">
        <v>647</v>
      </c>
      <c r="BF83" s="314" t="s">
        <v>1503</v>
      </c>
    </row>
    <row r="84" spans="1:58">
      <c r="A84" s="722" t="str">
        <f>A$46&amp;" - "&amp;VLOOKUP(RIGHT(C84,3),NameConv!$E$3:$F$16,2,FALSE)&amp;" - HID - Existing"</f>
        <v>Commercial - Lighting - Electricity - HID - Existing</v>
      </c>
      <c r="B84" s="722" t="str">
        <f>D84&amp;RIGHT(C84,3)&amp;"HID-E"</f>
        <v>CELELCHID-E</v>
      </c>
      <c r="C84" s="723" t="str">
        <f t="shared" si="41"/>
        <v>COMELC</v>
      </c>
      <c r="D84" s="723" t="str">
        <f t="shared" si="42"/>
        <v>CEL</v>
      </c>
      <c r="E84" s="347">
        <f>Appliances!J71</f>
        <v>7</v>
      </c>
      <c r="F84" s="566">
        <f ca="1">SUMIF(AFA!$B$3:$S$3,D84,AFA!$B$4:$J$4)</f>
        <v>0.55200000000000005</v>
      </c>
      <c r="G84" s="570">
        <v>5</v>
      </c>
      <c r="H84" s="349">
        <f t="shared" ca="1" si="43"/>
        <v>46.717690887523091</v>
      </c>
      <c r="I84" s="569">
        <f>('Technology costs'!J17/'Technology costs'!J14)*COM_2017!I81</f>
        <v>0.43103023080737402</v>
      </c>
      <c r="J84" s="349">
        <f t="shared" si="25"/>
        <v>4.3103023080737407E-2</v>
      </c>
      <c r="K84" s="705">
        <v>0</v>
      </c>
      <c r="L84" s="350">
        <f>Appliances!F71</f>
        <v>0.15</v>
      </c>
      <c r="M84" s="349">
        <f t="shared" ref="M84:M86" si="49">L84*SUMIF($C$6:$J$6,C84,$C$46:$J$46)</f>
        <v>3.6840236242732494</v>
      </c>
      <c r="N84" s="349">
        <f t="shared" si="48"/>
        <v>25.788165369912747</v>
      </c>
      <c r="P84" s="696"/>
      <c r="Q84" s="694"/>
      <c r="R84" s="694">
        <f t="shared" si="44"/>
        <v>0.23307692307692307</v>
      </c>
      <c r="S84" s="694">
        <f t="shared" si="45"/>
        <v>0.2630769230769231</v>
      </c>
      <c r="T84" s="694">
        <f t="shared" si="45"/>
        <v>0.33307692307692305</v>
      </c>
      <c r="U84" s="694">
        <f t="shared" si="45"/>
        <v>0.533076923076923</v>
      </c>
      <c r="V84" s="694">
        <f t="shared" si="45"/>
        <v>0.78307692307692311</v>
      </c>
      <c r="W84" s="694">
        <f t="shared" si="45"/>
        <v>1</v>
      </c>
      <c r="X84" s="694">
        <f t="shared" si="45"/>
        <v>1</v>
      </c>
      <c r="Y84" s="694">
        <f t="shared" si="45"/>
        <v>1</v>
      </c>
      <c r="AA84" s="696"/>
      <c r="AB84" s="694"/>
      <c r="AC84" s="694">
        <f t="shared" si="46"/>
        <v>0.22850678733031674</v>
      </c>
      <c r="AD84" s="786">
        <v>0</v>
      </c>
      <c r="AE84" s="786">
        <v>0</v>
      </c>
      <c r="AF84" s="694">
        <f t="shared" si="47"/>
        <v>0</v>
      </c>
      <c r="AG84" s="694">
        <f t="shared" si="47"/>
        <v>0</v>
      </c>
      <c r="AH84" s="694">
        <f t="shared" si="47"/>
        <v>0</v>
      </c>
      <c r="AI84" s="694">
        <f t="shared" si="47"/>
        <v>0</v>
      </c>
      <c r="AJ84" s="694">
        <f>$AA84*AJ$52</f>
        <v>0</v>
      </c>
      <c r="AK84" s="705">
        <f t="shared" si="26"/>
        <v>24</v>
      </c>
      <c r="AP84"/>
      <c r="AQ84" s="765" t="s">
        <v>1504</v>
      </c>
      <c r="AR84" t="s">
        <v>1379</v>
      </c>
      <c r="AS84" s="722" t="s">
        <v>1380</v>
      </c>
      <c r="AT84" s="705" t="s">
        <v>647</v>
      </c>
      <c r="AU84" s="705" t="s">
        <v>662</v>
      </c>
      <c r="AV84" s="314" t="s">
        <v>734</v>
      </c>
      <c r="AW84" s="314"/>
      <c r="AZ84" s="705" t="s">
        <v>1520</v>
      </c>
      <c r="BB84" s="705" t="str">
        <f t="shared" si="23"/>
        <v>CEL</v>
      </c>
      <c r="BC84" s="705" t="str">
        <f t="shared" si="24"/>
        <v>Commercial - Lighting - Electricity - HID - Existing</v>
      </c>
      <c r="BD84" s="705" t="s">
        <v>647</v>
      </c>
      <c r="BF84" s="314" t="s">
        <v>1503</v>
      </c>
    </row>
    <row r="85" spans="1:58">
      <c r="A85" s="722" t="str">
        <f>A$46&amp;" - "&amp;VLOOKUP(RIGHT(C85,3),NameConv!$E$3:$F$16,2,FALSE)&amp;" - INC - Existing"</f>
        <v>Commercial - Lighting - Electricity - INC - Existing</v>
      </c>
      <c r="B85" s="722" t="str">
        <f>D85&amp;RIGHT(C85,3)&amp;"INC-E"</f>
        <v>CELELCINC-E</v>
      </c>
      <c r="C85" s="723" t="str">
        <f t="shared" si="41"/>
        <v>COMELC</v>
      </c>
      <c r="D85" s="723" t="str">
        <f t="shared" si="42"/>
        <v>CEL</v>
      </c>
      <c r="E85" s="347">
        <f>Appliances!J72</f>
        <v>1</v>
      </c>
      <c r="F85" s="566">
        <f ca="1">SUMIF(AFA!$B$3:$S$3,D85,AFA!$B$4:$J$4)</f>
        <v>0.55200000000000005</v>
      </c>
      <c r="G85" s="348">
        <v>2</v>
      </c>
      <c r="H85" s="349">
        <f t="shared" ca="1" si="43"/>
        <v>3.1145127258348726</v>
      </c>
      <c r="I85" s="780">
        <f>0.267295894824741*Deflator!AD7</f>
        <v>0.37569687335386637</v>
      </c>
      <c r="J85" s="349">
        <f t="shared" si="25"/>
        <v>3.756968733538664E-2</v>
      </c>
      <c r="K85" s="705">
        <v>0</v>
      </c>
      <c r="L85" s="350">
        <f>Appliances!F72</f>
        <v>7.0000000000000007E-2</v>
      </c>
      <c r="M85" s="349">
        <f t="shared" si="49"/>
        <v>1.7192110246608499</v>
      </c>
      <c r="N85" s="349">
        <f t="shared" si="48"/>
        <v>1.7192110246608499</v>
      </c>
      <c r="P85" s="696"/>
      <c r="Q85" s="694"/>
      <c r="R85" s="694">
        <f t="shared" si="44"/>
        <v>1.5538461538461537E-2</v>
      </c>
      <c r="S85" s="694">
        <f>R85</f>
        <v>1.5538461538461537E-2</v>
      </c>
      <c r="T85" s="694">
        <v>0.01</v>
      </c>
      <c r="U85" s="694">
        <f>T85</f>
        <v>0.01</v>
      </c>
      <c r="V85" s="694">
        <f t="shared" ref="V85:Y85" si="50">U85</f>
        <v>0.01</v>
      </c>
      <c r="W85" s="694">
        <f t="shared" si="50"/>
        <v>0.01</v>
      </c>
      <c r="X85" s="694">
        <f t="shared" si="50"/>
        <v>0.01</v>
      </c>
      <c r="Y85" s="694">
        <f t="shared" si="50"/>
        <v>0.01</v>
      </c>
      <c r="AA85" s="696"/>
      <c r="AB85" s="694"/>
      <c r="AC85" s="694">
        <f t="shared" si="46"/>
        <v>1.5233785822021114E-2</v>
      </c>
      <c r="AD85" s="786">
        <v>0</v>
      </c>
      <c r="AE85" s="786">
        <v>0</v>
      </c>
      <c r="AF85" s="694">
        <v>0.01</v>
      </c>
      <c r="AG85" s="694">
        <v>0.01</v>
      </c>
      <c r="AH85" s="694">
        <v>0.01</v>
      </c>
      <c r="AI85" s="694">
        <v>0.01</v>
      </c>
      <c r="AJ85" s="694">
        <v>0.01</v>
      </c>
      <c r="AK85" s="705">
        <f t="shared" si="26"/>
        <v>25</v>
      </c>
      <c r="AQ85" s="765" t="s">
        <v>1504</v>
      </c>
      <c r="AR85" t="s">
        <v>1381</v>
      </c>
      <c r="AS85" s="722" t="s">
        <v>1382</v>
      </c>
      <c r="AT85" s="705" t="s">
        <v>647</v>
      </c>
      <c r="AU85" s="705" t="s">
        <v>662</v>
      </c>
      <c r="AV85" s="314" t="s">
        <v>734</v>
      </c>
      <c r="AW85" s="314"/>
      <c r="AZ85" s="705" t="s">
        <v>1520</v>
      </c>
      <c r="BB85" s="705" t="str">
        <f t="shared" si="23"/>
        <v>CEL</v>
      </c>
      <c r="BC85" s="705" t="str">
        <f t="shared" si="24"/>
        <v>Commercial - Lighting - Electricity - INC - Existing</v>
      </c>
      <c r="BD85" s="705" t="s">
        <v>647</v>
      </c>
      <c r="BF85" s="314" t="s">
        <v>1503</v>
      </c>
    </row>
    <row r="86" spans="1:58">
      <c r="A86" s="722" t="str">
        <f>A$46&amp;" - "&amp;VLOOKUP(RIGHT(C86,3),NameConv!$E$3:$F$16,2,FALSE)&amp;" - LED - New"</f>
        <v>Commercial - Lighting - Electricity - LED - New</v>
      </c>
      <c r="B86" s="722" t="str">
        <f>D86&amp;RIGHT(C86,3)&amp;"LED-N"</f>
        <v>CELELCLED-N</v>
      </c>
      <c r="C86" s="723" t="str">
        <f t="shared" si="41"/>
        <v>COMELC</v>
      </c>
      <c r="D86" s="723" t="str">
        <f t="shared" si="42"/>
        <v>CEL</v>
      </c>
      <c r="E86" s="347">
        <v>9.8000000000000007</v>
      </c>
      <c r="F86" s="566">
        <f ca="1">SUMIF(AFA!$B$3:$S$3,D86,AFA!$B$4:$J$4)</f>
        <v>0.55200000000000005</v>
      </c>
      <c r="G86" s="348">
        <v>10</v>
      </c>
      <c r="H86" s="349"/>
      <c r="I86" s="780">
        <f>4.92588149034165*Deflator!AD7</f>
        <v>6.9235566660926731</v>
      </c>
      <c r="J86" s="349">
        <f t="shared" si="25"/>
        <v>0.6923556666092674</v>
      </c>
      <c r="K86" s="705">
        <v>0</v>
      </c>
      <c r="L86" s="350">
        <v>0</v>
      </c>
      <c r="M86" s="349">
        <f t="shared" si="49"/>
        <v>0</v>
      </c>
      <c r="N86" s="349">
        <f t="shared" si="48"/>
        <v>0</v>
      </c>
      <c r="P86" s="696"/>
      <c r="Q86" s="694"/>
      <c r="R86" s="694">
        <f t="shared" si="44"/>
        <v>0</v>
      </c>
      <c r="S86" s="786">
        <v>0.5</v>
      </c>
      <c r="T86" s="786">
        <v>0.75</v>
      </c>
      <c r="U86" s="786">
        <v>1</v>
      </c>
      <c r="V86" s="786">
        <f t="shared" ref="V86:Y86" si="51">MIN(1,$R86+V$53)</f>
        <v>1</v>
      </c>
      <c r="W86" s="786">
        <f t="shared" si="51"/>
        <v>1</v>
      </c>
      <c r="X86" s="786">
        <f t="shared" si="51"/>
        <v>1</v>
      </c>
      <c r="Y86" s="786">
        <f t="shared" si="51"/>
        <v>1</v>
      </c>
      <c r="AA86" s="696"/>
      <c r="AB86" s="694"/>
      <c r="AC86" s="694">
        <f t="shared" si="46"/>
        <v>0</v>
      </c>
      <c r="AD86" s="786">
        <v>0</v>
      </c>
      <c r="AE86" s="786">
        <v>0</v>
      </c>
      <c r="AF86" s="694">
        <f t="shared" ref="AE86:AI87" si="52">$AC86*AF$52</f>
        <v>0</v>
      </c>
      <c r="AG86" s="694">
        <f t="shared" si="52"/>
        <v>0</v>
      </c>
      <c r="AH86" s="694">
        <f t="shared" si="52"/>
        <v>0</v>
      </c>
      <c r="AI86" s="694">
        <f t="shared" si="52"/>
        <v>0</v>
      </c>
      <c r="AJ86" s="694">
        <f>$AA86*AJ$52</f>
        <v>0</v>
      </c>
      <c r="AK86" s="705">
        <f t="shared" si="26"/>
        <v>26</v>
      </c>
      <c r="AP86"/>
      <c r="AQ86" s="765" t="s">
        <v>1504</v>
      </c>
      <c r="AR86" t="s">
        <v>1383</v>
      </c>
      <c r="AS86" s="722" t="s">
        <v>1384</v>
      </c>
      <c r="AT86" s="705" t="s">
        <v>647</v>
      </c>
      <c r="AU86" s="705" t="s">
        <v>662</v>
      </c>
      <c r="AV86" s="314" t="s">
        <v>734</v>
      </c>
      <c r="AW86" s="314"/>
      <c r="AZ86" s="705" t="s">
        <v>1520</v>
      </c>
      <c r="BB86" s="705" t="str">
        <f t="shared" si="23"/>
        <v>CEL</v>
      </c>
      <c r="BC86" s="705" t="str">
        <f t="shared" si="24"/>
        <v>Commercial - Lighting - Electricity - LED - New</v>
      </c>
      <c r="BD86" s="705" t="s">
        <v>647</v>
      </c>
      <c r="BF86" s="314" t="s">
        <v>1503</v>
      </c>
    </row>
    <row r="87" spans="1:58">
      <c r="A87" s="742" t="s">
        <v>1538</v>
      </c>
      <c r="F87" s="566"/>
      <c r="H87" s="349"/>
      <c r="I87" s="349"/>
      <c r="J87" s="349"/>
      <c r="L87" s="733">
        <f>SUM(L81:L85)</f>
        <v>1</v>
      </c>
      <c r="M87" s="356">
        <f>SUM(M81:M85)</f>
        <v>24.560157495154996</v>
      </c>
      <c r="N87" s="356">
        <f>SUM(N81:N85)</f>
        <v>111.74871660295524</v>
      </c>
      <c r="R87" s="733">
        <f>SUM(R81:R86)</f>
        <v>1.01</v>
      </c>
      <c r="S87" s="694">
        <f t="shared" ref="S87:Y87" si="53">MIN(1,$R87+S$52)</f>
        <v>1</v>
      </c>
      <c r="T87" s="694">
        <f t="shared" si="53"/>
        <v>1</v>
      </c>
      <c r="U87" s="694">
        <f t="shared" si="53"/>
        <v>1</v>
      </c>
      <c r="V87" s="694">
        <f t="shared" si="53"/>
        <v>1</v>
      </c>
      <c r="W87" s="694">
        <f t="shared" si="53"/>
        <v>1</v>
      </c>
      <c r="X87" s="694">
        <f t="shared" si="53"/>
        <v>1</v>
      </c>
      <c r="Y87" s="694">
        <f t="shared" si="53"/>
        <v>1</v>
      </c>
      <c r="AC87" s="694">
        <f t="shared" si="46"/>
        <v>0.99019607843137258</v>
      </c>
      <c r="AD87" s="694">
        <f>$AC87*AD$52</f>
        <v>0.96049019607843134</v>
      </c>
      <c r="AE87" s="694">
        <f t="shared" si="52"/>
        <v>0.74264705882352944</v>
      </c>
      <c r="AF87" s="694">
        <f t="shared" si="52"/>
        <v>0</v>
      </c>
      <c r="AG87" s="694">
        <f t="shared" si="52"/>
        <v>0</v>
      </c>
      <c r="AH87" s="694">
        <f t="shared" si="52"/>
        <v>0</v>
      </c>
      <c r="AI87" s="694">
        <f t="shared" si="52"/>
        <v>0</v>
      </c>
      <c r="AK87" s="705">
        <f t="shared" si="26"/>
        <v>27</v>
      </c>
      <c r="AL87" s="705" t="str">
        <f>LEFT(B86,3)</f>
        <v>CEL</v>
      </c>
      <c r="AP87"/>
      <c r="AQ87" s="765" t="s">
        <v>709</v>
      </c>
      <c r="AR87"/>
      <c r="AV87" s="314"/>
      <c r="AW87" s="314"/>
      <c r="AZ87" s="705" t="s">
        <v>709</v>
      </c>
      <c r="BF87" s="314"/>
    </row>
    <row r="88" spans="1:58">
      <c r="A88" s="722" t="s">
        <v>1543</v>
      </c>
      <c r="B88" s="722"/>
      <c r="C88" s="743"/>
      <c r="D88" s="743"/>
      <c r="E88" s="738"/>
      <c r="F88" s="566"/>
      <c r="G88" s="738"/>
      <c r="H88" s="349"/>
      <c r="I88" s="349"/>
      <c r="J88" s="349"/>
      <c r="K88" s="698"/>
      <c r="L88" s="745"/>
      <c r="M88" s="745"/>
      <c r="AK88" s="705">
        <f t="shared" si="26"/>
        <v>28</v>
      </c>
      <c r="AP88"/>
      <c r="AQ88" s="765" t="s">
        <v>709</v>
      </c>
      <c r="AR88"/>
      <c r="AS88" s="722"/>
      <c r="AV88" s="314"/>
      <c r="AW88" s="314"/>
      <c r="AZ88" s="705" t="s">
        <v>709</v>
      </c>
      <c r="BF88" s="314"/>
    </row>
    <row r="89" spans="1:58">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5"/>
        <v>173.42705050470357</v>
      </c>
      <c r="K89" s="705">
        <v>0</v>
      </c>
      <c r="L89" s="350">
        <f>Appliances!F63</f>
        <v>1</v>
      </c>
      <c r="M89" s="349">
        <f>L89*SUMIF($C$6:$J$6,C89,$C$47:$J$47)</f>
        <v>27.184456041138358</v>
      </c>
      <c r="N89" s="349">
        <f>M89*E89</f>
        <v>27.184456041138358</v>
      </c>
      <c r="P89" s="696"/>
      <c r="Q89" s="694"/>
      <c r="R89" s="694">
        <f>N89/SUMIF($D$61:$D$121,$D89,$N$61:$N$121)</f>
        <v>1</v>
      </c>
      <c r="S89" s="694">
        <f t="shared" ref="S89:S90" si="54">MIN(1,$R89+S$52)</f>
        <v>1</v>
      </c>
      <c r="T89" s="786">
        <f>MIN(1,$R89+T$53)</f>
        <v>1</v>
      </c>
      <c r="U89" s="786">
        <f t="shared" ref="U89:Y90" si="55">MIN(1,$R89+U$53)</f>
        <v>1</v>
      </c>
      <c r="V89" s="786">
        <f t="shared" si="55"/>
        <v>1</v>
      </c>
      <c r="W89" s="786">
        <f t="shared" si="55"/>
        <v>1</v>
      </c>
      <c r="X89" s="786">
        <f t="shared" si="55"/>
        <v>1</v>
      </c>
      <c r="Y89" s="786">
        <f t="shared" si="55"/>
        <v>1</v>
      </c>
      <c r="AA89" s="696"/>
      <c r="AB89" s="694"/>
      <c r="AC89" s="694">
        <f>R89/(1+$P$55+$AA$55)</f>
        <v>0.98039215686274506</v>
      </c>
      <c r="AD89" s="786">
        <v>0</v>
      </c>
      <c r="AE89" s="786">
        <v>0</v>
      </c>
      <c r="AF89" s="694">
        <f t="shared" ref="AF89:AI90" si="56">$AC89*AF$52</f>
        <v>0</v>
      </c>
      <c r="AG89" s="694">
        <f t="shared" si="56"/>
        <v>0</v>
      </c>
      <c r="AH89" s="694">
        <f t="shared" si="56"/>
        <v>0</v>
      </c>
      <c r="AI89" s="694">
        <f t="shared" si="56"/>
        <v>0</v>
      </c>
      <c r="AJ89" s="694">
        <f>$AA89*AJ$52</f>
        <v>0</v>
      </c>
      <c r="AK89" s="705">
        <f t="shared" si="26"/>
        <v>29</v>
      </c>
      <c r="AP89"/>
      <c r="AQ89" s="765" t="s">
        <v>1504</v>
      </c>
      <c r="AR89" t="s">
        <v>1385</v>
      </c>
      <c r="AS89" s="722" t="s">
        <v>1386</v>
      </c>
      <c r="AT89" s="705" t="s">
        <v>647</v>
      </c>
      <c r="AU89" s="705" t="s">
        <v>662</v>
      </c>
      <c r="AV89" s="314" t="s">
        <v>734</v>
      </c>
      <c r="AW89" s="314"/>
      <c r="AZ89" s="705" t="s">
        <v>1520</v>
      </c>
      <c r="BB89" s="705" t="str">
        <f t="shared" si="23"/>
        <v>CER</v>
      </c>
      <c r="BC89" s="705" t="str">
        <f t="shared" si="24"/>
        <v>Commercial - Refrigeration - Electricity - Existing</v>
      </c>
      <c r="BD89" s="705" t="s">
        <v>647</v>
      </c>
      <c r="BF89" s="314" t="s">
        <v>1503</v>
      </c>
    </row>
    <row r="90" spans="1:58">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c r="I90" s="349">
        <f>(99.33/95.72)*I89</f>
        <v>1799.6770713155252</v>
      </c>
      <c r="J90" s="349">
        <f t="shared" si="25"/>
        <v>179.96770713155252</v>
      </c>
      <c r="K90" s="705">
        <v>0</v>
      </c>
      <c r="L90" s="350">
        <v>0</v>
      </c>
      <c r="M90" s="349">
        <v>0</v>
      </c>
      <c r="N90" s="349">
        <v>0</v>
      </c>
      <c r="P90" s="696"/>
      <c r="Q90" s="694"/>
      <c r="R90" s="694">
        <f>N90/SUMIF($D$61:$D$121,$D89,$N$61:$N$121)</f>
        <v>0</v>
      </c>
      <c r="S90" s="694">
        <f t="shared" si="54"/>
        <v>0.03</v>
      </c>
      <c r="T90" s="786">
        <f>MIN(1,$R90+T$53)</f>
        <v>0.5</v>
      </c>
      <c r="U90" s="786">
        <f t="shared" si="55"/>
        <v>0.75</v>
      </c>
      <c r="V90" s="786">
        <f t="shared" si="55"/>
        <v>1</v>
      </c>
      <c r="W90" s="786">
        <f t="shared" si="55"/>
        <v>1</v>
      </c>
      <c r="X90" s="786">
        <f t="shared" si="55"/>
        <v>1</v>
      </c>
      <c r="Y90" s="786">
        <f t="shared" si="55"/>
        <v>1</v>
      </c>
      <c r="AA90" s="696"/>
      <c r="AB90" s="694"/>
      <c r="AC90" s="694">
        <f>R90/(1+$P$55+$AA$55)</f>
        <v>0</v>
      </c>
      <c r="AD90" s="786">
        <v>0</v>
      </c>
      <c r="AE90" s="786">
        <v>0</v>
      </c>
      <c r="AF90" s="694">
        <f t="shared" si="56"/>
        <v>0</v>
      </c>
      <c r="AG90" s="694">
        <f t="shared" si="56"/>
        <v>0</v>
      </c>
      <c r="AH90" s="694">
        <f t="shared" si="56"/>
        <v>0</v>
      </c>
      <c r="AI90" s="694">
        <f t="shared" si="56"/>
        <v>0</v>
      </c>
      <c r="AJ90" s="694">
        <f>$AA90*AJ$52</f>
        <v>0</v>
      </c>
      <c r="AK90" s="705">
        <f t="shared" si="26"/>
        <v>30</v>
      </c>
      <c r="AP90"/>
      <c r="AQ90" s="765" t="s">
        <v>1504</v>
      </c>
      <c r="AR90" t="s">
        <v>1387</v>
      </c>
      <c r="AS90" s="722" t="s">
        <v>1388</v>
      </c>
      <c r="AT90" s="705" t="s">
        <v>647</v>
      </c>
      <c r="AU90" s="705" t="s">
        <v>662</v>
      </c>
      <c r="AV90" s="314" t="s">
        <v>734</v>
      </c>
      <c r="AW90" s="314"/>
      <c r="AZ90" s="705" t="s">
        <v>1520</v>
      </c>
      <c r="BB90" s="705" t="str">
        <f t="shared" si="23"/>
        <v>CER</v>
      </c>
      <c r="BC90" s="705" t="str">
        <f t="shared" si="24"/>
        <v>Commercial - Refrigeration - Electricity - New</v>
      </c>
      <c r="BD90" s="705" t="s">
        <v>647</v>
      </c>
      <c r="BF90" s="314" t="s">
        <v>1503</v>
      </c>
    </row>
    <row r="91" spans="1:58">
      <c r="A91" s="742" t="s">
        <v>1538</v>
      </c>
      <c r="F91" s="566"/>
      <c r="H91" s="349"/>
      <c r="I91" s="349"/>
      <c r="J91" s="349"/>
      <c r="L91" s="733">
        <f>SUM(L89)</f>
        <v>1</v>
      </c>
      <c r="M91" s="356">
        <f>SUM(M89)</f>
        <v>27.184456041138358</v>
      </c>
      <c r="N91" s="356">
        <f>SUM(N89)</f>
        <v>27.184456041138358</v>
      </c>
      <c r="AK91" s="705">
        <f t="shared" si="26"/>
        <v>31</v>
      </c>
      <c r="AL91" s="705" t="str">
        <f>LEFT(B90,3)</f>
        <v>CER</v>
      </c>
      <c r="AP91"/>
      <c r="AQ91" s="765" t="s">
        <v>709</v>
      </c>
      <c r="AR91"/>
      <c r="AV91" s="314"/>
      <c r="AW91" s="314"/>
      <c r="AZ91" s="705" t="s">
        <v>709</v>
      </c>
      <c r="BF91" s="314"/>
    </row>
    <row r="92" spans="1:58">
      <c r="A92" s="722" t="s">
        <v>1544</v>
      </c>
      <c r="B92" s="722"/>
      <c r="C92" s="743"/>
      <c r="D92" s="743"/>
      <c r="E92" s="738"/>
      <c r="F92" s="566"/>
      <c r="G92" s="738"/>
      <c r="H92" s="349"/>
      <c r="I92" s="349"/>
      <c r="J92" s="349"/>
      <c r="K92" s="698"/>
      <c r="L92" s="745"/>
      <c r="M92" s="745"/>
      <c r="AK92" s="705">
        <f t="shared" si="26"/>
        <v>32</v>
      </c>
      <c r="AP92"/>
      <c r="AQ92" s="765" t="s">
        <v>709</v>
      </c>
      <c r="AR92"/>
      <c r="AS92" s="722"/>
      <c r="AV92" s="314"/>
      <c r="AW92" s="314"/>
      <c r="AZ92" s="705" t="s">
        <v>709</v>
      </c>
      <c r="BF92" s="314"/>
    </row>
    <row r="93" spans="1:58">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5"/>
        <v>3.1581453839889382</v>
      </c>
      <c r="K93" s="705">
        <v>0</v>
      </c>
      <c r="L93" s="350">
        <f>Appliances!F22</f>
        <v>1</v>
      </c>
      <c r="M93" s="349">
        <f>L93*SUMIF($C$6:$J$6,C93,$C$48:$J$48)</f>
        <v>1.1882423368329196</v>
      </c>
      <c r="N93" s="349">
        <f>M93*E93</f>
        <v>1.1882423368329196</v>
      </c>
      <c r="O93" s="696"/>
      <c r="Q93" s="694"/>
      <c r="R93" s="694">
        <f t="shared" ref="R93:R99" si="57">N93/SUMIF($D$61:$D$121,$D93,$N$61:$N$121)*(1+$P$55)</f>
        <v>8.3387548786513319E-2</v>
      </c>
      <c r="S93" s="694">
        <f t="shared" ref="S93:Y93" si="58">MIN(1,$R93+S$52)</f>
        <v>0.11338754878651332</v>
      </c>
      <c r="T93" s="694">
        <f t="shared" si="58"/>
        <v>0.18338754878651331</v>
      </c>
      <c r="U93" s="694">
        <f t="shared" si="58"/>
        <v>0.38338754878651332</v>
      </c>
      <c r="V93" s="694">
        <f t="shared" si="58"/>
        <v>0.63338754878651338</v>
      </c>
      <c r="W93" s="694">
        <f t="shared" si="58"/>
        <v>0.93338754878651331</v>
      </c>
      <c r="X93" s="694">
        <f t="shared" si="58"/>
        <v>1</v>
      </c>
      <c r="Y93" s="694">
        <f t="shared" si="58"/>
        <v>1</v>
      </c>
      <c r="AA93" s="696"/>
      <c r="AB93" s="694"/>
      <c r="AC93" s="694">
        <f t="shared" ref="AC93:AC99" si="59">R93/(1+$P$55+$AA$55)</f>
        <v>8.1752498810307175E-2</v>
      </c>
      <c r="AD93" s="786">
        <v>0</v>
      </c>
      <c r="AE93" s="786">
        <v>0</v>
      </c>
      <c r="AF93" s="694">
        <f t="shared" ref="AF93:AI99" si="60">$AC93*AF$52</f>
        <v>0</v>
      </c>
      <c r="AG93" s="694">
        <f t="shared" si="60"/>
        <v>0</v>
      </c>
      <c r="AH93" s="694">
        <f t="shared" si="60"/>
        <v>0</v>
      </c>
      <c r="AI93" s="694">
        <f t="shared" si="60"/>
        <v>0</v>
      </c>
      <c r="AJ93" s="694">
        <f t="shared" ref="AJ93:AJ99" si="61">$AA93*AJ$52</f>
        <v>0</v>
      </c>
      <c r="AK93" s="705">
        <f t="shared" si="26"/>
        <v>33</v>
      </c>
      <c r="AQ93" s="765" t="s">
        <v>1504</v>
      </c>
      <c r="AR93" t="s">
        <v>1313</v>
      </c>
      <c r="AS93" s="722" t="s">
        <v>1314</v>
      </c>
      <c r="AT93" s="705" t="s">
        <v>647</v>
      </c>
      <c r="AU93" s="705" t="s">
        <v>662</v>
      </c>
      <c r="AV93" s="314" t="s">
        <v>734</v>
      </c>
      <c r="AW93" s="314"/>
      <c r="AZ93" s="705" t="s">
        <v>1520</v>
      </c>
      <c r="BB93" s="705" t="str">
        <f t="shared" si="23"/>
        <v>CEW</v>
      </c>
      <c r="BC93" s="705" t="str">
        <f t="shared" si="24"/>
        <v>Commercial - Water Heating - Electricity - Existing</v>
      </c>
      <c r="BD93" s="705" t="s">
        <v>647</v>
      </c>
      <c r="BF93" s="314" t="s">
        <v>1503</v>
      </c>
    </row>
    <row r="94" spans="1:58">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7" ca="1" si="62">(N94/F94)*(1+$H$55)</f>
        <v>8.5143522454530913</v>
      </c>
      <c r="I94" s="349">
        <f>SUMIF('Technology costs'!$B$7:$B$28,COM_2017!B94,'Technology costs'!$L$7:$L$28)</f>
        <v>211.94584531928834</v>
      </c>
      <c r="J94" s="349">
        <f t="shared" si="25"/>
        <v>21.194584531928836</v>
      </c>
      <c r="K94" s="705">
        <v>0</v>
      </c>
      <c r="L94" s="350">
        <f>Appliances!F25</f>
        <v>1</v>
      </c>
      <c r="M94" s="349">
        <f>L94*SUMIF($C$6:$J$6,C94,$C$48:$J$48)</f>
        <v>12.648070260620566</v>
      </c>
      <c r="N94" s="349">
        <f>M94*E94</f>
        <v>7.5888421563723405</v>
      </c>
      <c r="O94" s="696"/>
      <c r="Q94" s="699"/>
      <c r="R94" s="694">
        <f t="shared" si="57"/>
        <v>0.53256387685555806</v>
      </c>
      <c r="S94" s="694">
        <f t="shared" ref="S94:Y96" si="63">MIN(1,$R94+S$52)</f>
        <v>0.56256387685555809</v>
      </c>
      <c r="T94" s="694">
        <f t="shared" si="63"/>
        <v>0.63256387685555804</v>
      </c>
      <c r="U94" s="694">
        <f t="shared" si="63"/>
        <v>0.8325638768555581</v>
      </c>
      <c r="V94" s="694">
        <f t="shared" si="63"/>
        <v>1</v>
      </c>
      <c r="W94" s="694">
        <f t="shared" si="63"/>
        <v>1</v>
      </c>
      <c r="X94" s="694">
        <f t="shared" si="63"/>
        <v>1</v>
      </c>
      <c r="Y94" s="694">
        <f t="shared" si="63"/>
        <v>1</v>
      </c>
      <c r="AA94" s="696"/>
      <c r="AB94" s="694"/>
      <c r="AC94" s="694">
        <f t="shared" si="59"/>
        <v>0.52212144789760595</v>
      </c>
      <c r="AD94" s="786">
        <v>0</v>
      </c>
      <c r="AE94" s="786">
        <v>0</v>
      </c>
      <c r="AF94" s="694">
        <f t="shared" si="60"/>
        <v>0</v>
      </c>
      <c r="AG94" s="694">
        <f t="shared" si="60"/>
        <v>0</v>
      </c>
      <c r="AH94" s="694">
        <f t="shared" si="60"/>
        <v>0</v>
      </c>
      <c r="AI94" s="694">
        <f t="shared" si="60"/>
        <v>0</v>
      </c>
      <c r="AJ94" s="694">
        <f t="shared" si="61"/>
        <v>0</v>
      </c>
      <c r="AK94" s="705">
        <f t="shared" si="26"/>
        <v>34</v>
      </c>
      <c r="AP94"/>
      <c r="AQ94" s="765" t="s">
        <v>1504</v>
      </c>
      <c r="AR94" t="s">
        <v>1315</v>
      </c>
      <c r="AS94" s="722" t="s">
        <v>1316</v>
      </c>
      <c r="AT94" s="705" t="s">
        <v>647</v>
      </c>
      <c r="AU94" s="705" t="s">
        <v>662</v>
      </c>
      <c r="AV94" s="314" t="s">
        <v>734</v>
      </c>
      <c r="AW94" s="314"/>
      <c r="AZ94" s="705" t="s">
        <v>1520</v>
      </c>
      <c r="BB94" s="705" t="str">
        <f t="shared" si="23"/>
        <v>CEW</v>
      </c>
      <c r="BC94" s="705" t="str">
        <f t="shared" si="24"/>
        <v>Commercial - Water Heating - Coal - Existing</v>
      </c>
      <c r="BD94" s="705" t="s">
        <v>647</v>
      </c>
      <c r="BF94" s="314" t="s">
        <v>734</v>
      </c>
    </row>
    <row r="95" spans="1:58">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62"/>
        <v>1.4745733858550749</v>
      </c>
      <c r="I95" s="349">
        <f>SUMIF('Technology costs'!$B$7:$B$28,COM_2017!B95,'Technology costs'!$L$7:$L$28)</f>
        <v>24.826371391503535</v>
      </c>
      <c r="J95" s="349">
        <f t="shared" si="25"/>
        <v>2.4826371391503539</v>
      </c>
      <c r="K95" s="705">
        <v>0</v>
      </c>
      <c r="L95" s="350">
        <f>Appliances!F23</f>
        <v>1</v>
      </c>
      <c r="M95" s="349">
        <f>L95*SUMIF($C$6:$J$6,C95,$C$48:$J$48)</f>
        <v>1.932775380606806</v>
      </c>
      <c r="N95" s="349">
        <f>M95*E95</f>
        <v>1.3142872588126282</v>
      </c>
      <c r="O95" s="696"/>
      <c r="Q95" s="694"/>
      <c r="R95" s="694">
        <f t="shared" si="57"/>
        <v>9.2233031526077688E-2</v>
      </c>
      <c r="S95" s="694">
        <f t="shared" si="63"/>
        <v>0.12223303152607769</v>
      </c>
      <c r="T95" s="694">
        <f t="shared" si="63"/>
        <v>0.19223303152607768</v>
      </c>
      <c r="U95" s="694">
        <f t="shared" si="63"/>
        <v>0.39223303152607769</v>
      </c>
      <c r="V95" s="694">
        <f t="shared" si="63"/>
        <v>0.64223303152607769</v>
      </c>
      <c r="W95" s="694">
        <f t="shared" si="63"/>
        <v>0.94223303152607762</v>
      </c>
      <c r="X95" s="694">
        <f t="shared" si="63"/>
        <v>1</v>
      </c>
      <c r="Y95" s="694">
        <f t="shared" si="63"/>
        <v>1</v>
      </c>
      <c r="AA95" s="696"/>
      <c r="AB95" s="694"/>
      <c r="AC95" s="694">
        <f t="shared" si="59"/>
        <v>9.0424540711840876E-2</v>
      </c>
      <c r="AD95" s="786">
        <v>0</v>
      </c>
      <c r="AE95" s="786">
        <v>0</v>
      </c>
      <c r="AF95" s="694">
        <f t="shared" si="60"/>
        <v>0</v>
      </c>
      <c r="AG95" s="694">
        <f t="shared" si="60"/>
        <v>0</v>
      </c>
      <c r="AH95" s="694">
        <f t="shared" si="60"/>
        <v>0</v>
      </c>
      <c r="AI95" s="694">
        <f t="shared" si="60"/>
        <v>0</v>
      </c>
      <c r="AJ95" s="694">
        <f t="shared" si="61"/>
        <v>0</v>
      </c>
      <c r="AK95" s="705">
        <f t="shared" si="26"/>
        <v>35</v>
      </c>
      <c r="AP95"/>
      <c r="AQ95" s="765" t="s">
        <v>1504</v>
      </c>
      <c r="AR95" t="s">
        <v>1317</v>
      </c>
      <c r="AS95" s="722" t="s">
        <v>1318</v>
      </c>
      <c r="AT95" s="705" t="s">
        <v>647</v>
      </c>
      <c r="AU95" s="705" t="s">
        <v>662</v>
      </c>
      <c r="AV95" s="314" t="s">
        <v>734</v>
      </c>
      <c r="AW95" s="314"/>
      <c r="AZ95" s="705" t="s">
        <v>1520</v>
      </c>
      <c r="BB95" s="705" t="str">
        <f t="shared" si="23"/>
        <v>CEW</v>
      </c>
      <c r="BC95" s="705" t="str">
        <f t="shared" si="24"/>
        <v>Commercial - Water Heating - Oil LPG - Existing</v>
      </c>
      <c r="BD95" s="705" t="s">
        <v>647</v>
      </c>
      <c r="BF95" s="314" t="s">
        <v>734</v>
      </c>
    </row>
    <row r="96" spans="1:58">
      <c r="A96" s="722" t="str">
        <f>A$48&amp;" - "&amp;VLOOKUP(RIGHT(C96,3),NameConv!$E$3:$F$16,2,FALSE)&amp;" - Existing"</f>
        <v>Commercial - Water Heating - Gas - Existing</v>
      </c>
      <c r="B96" s="722" t="str">
        <f t="shared" ref="B96:B97" si="64">D96&amp;RIGHT(C96,3)&amp;"-E"</f>
        <v>CEWGAS-E</v>
      </c>
      <c r="C96" s="723" t="str">
        <f>$F$6</f>
        <v>COMGAS</v>
      </c>
      <c r="D96" s="723" t="str">
        <f t="shared" ref="D96:D97" si="65">$B$48</f>
        <v>CEW</v>
      </c>
      <c r="E96" s="347">
        <f>Appliances!J27</f>
        <v>0.69</v>
      </c>
      <c r="F96" s="566">
        <f ca="1">SUMIF(AFA!$B$3:$S$3,D96,AFA!$B$4:$J$4)</f>
        <v>0.89129999999999998</v>
      </c>
      <c r="G96" s="348">
        <v>12</v>
      </c>
      <c r="H96" s="349">
        <f t="shared" ca="1" si="62"/>
        <v>0.67851683800789475</v>
      </c>
      <c r="I96" s="488">
        <f>I95</f>
        <v>24.826371391503535</v>
      </c>
      <c r="J96" s="349">
        <f t="shared" si="25"/>
        <v>2.4826371391503539</v>
      </c>
      <c r="K96" s="705">
        <v>0</v>
      </c>
      <c r="L96" s="350">
        <f>Appliances!F27</f>
        <v>1</v>
      </c>
      <c r="M96" s="349">
        <f>L96*SUMIF($C$6:$J$6,C96,$C$48:$J$48)</f>
        <v>0.87646675031367627</v>
      </c>
      <c r="N96" s="349">
        <f>M96*E96</f>
        <v>0.60476205771643654</v>
      </c>
      <c r="O96" s="696"/>
      <c r="Q96" s="694"/>
      <c r="R96" s="694">
        <f t="shared" si="57"/>
        <v>4.2440522466548433E-2</v>
      </c>
      <c r="S96" s="694">
        <f t="shared" si="63"/>
        <v>7.2440522466548432E-2</v>
      </c>
      <c r="T96" s="694">
        <f t="shared" si="63"/>
        <v>0.14244052246654842</v>
      </c>
      <c r="U96" s="694">
        <f t="shared" si="63"/>
        <v>0.34244052246654844</v>
      </c>
      <c r="V96" s="694">
        <f t="shared" si="63"/>
        <v>0.59244052246654844</v>
      </c>
      <c r="W96" s="694">
        <f t="shared" si="63"/>
        <v>0.89244052246654837</v>
      </c>
      <c r="X96" s="694">
        <f t="shared" si="63"/>
        <v>0.99244052246654835</v>
      </c>
      <c r="Y96" s="694">
        <f t="shared" si="63"/>
        <v>1</v>
      </c>
      <c r="AA96" s="696"/>
      <c r="AB96" s="694"/>
      <c r="AC96" s="694">
        <f t="shared" si="59"/>
        <v>4.1608355359361207E-2</v>
      </c>
      <c r="AD96" s="786">
        <v>0</v>
      </c>
      <c r="AE96" s="786">
        <v>0</v>
      </c>
      <c r="AF96" s="694">
        <f t="shared" si="60"/>
        <v>0</v>
      </c>
      <c r="AG96" s="694">
        <f t="shared" si="60"/>
        <v>0</v>
      </c>
      <c r="AH96" s="694">
        <f t="shared" si="60"/>
        <v>0</v>
      </c>
      <c r="AI96" s="694">
        <f t="shared" si="60"/>
        <v>0</v>
      </c>
      <c r="AJ96" s="694">
        <f t="shared" si="61"/>
        <v>0</v>
      </c>
      <c r="AK96" s="705">
        <f t="shared" si="26"/>
        <v>36</v>
      </c>
      <c r="AP96"/>
      <c r="AQ96" s="765" t="s">
        <v>1504</v>
      </c>
      <c r="AR96" t="s">
        <v>1319</v>
      </c>
      <c r="AS96" s="722" t="s">
        <v>1320</v>
      </c>
      <c r="AT96" s="705" t="s">
        <v>647</v>
      </c>
      <c r="AU96" s="705" t="s">
        <v>662</v>
      </c>
      <c r="AV96" s="314" t="s">
        <v>734</v>
      </c>
      <c r="AW96" s="314"/>
      <c r="AZ96" s="705" t="s">
        <v>1520</v>
      </c>
      <c r="BB96" s="705" t="str">
        <f t="shared" si="23"/>
        <v>CEW</v>
      </c>
      <c r="BC96" s="705" t="str">
        <f t="shared" si="24"/>
        <v>Commercial - Water Heating - Gas - Existing</v>
      </c>
      <c r="BD96" s="705" t="s">
        <v>647</v>
      </c>
      <c r="BF96" s="314" t="s">
        <v>734</v>
      </c>
    </row>
    <row r="97" spans="1:58">
      <c r="A97" s="722" t="str">
        <f>A$48&amp;" - "&amp;VLOOKUP(RIGHT(C97,3),NameConv!$E$3:$F$16,2,FALSE)&amp;" - Existing"</f>
        <v>Commercial - Water Heating - Oil Paraffin - Existing</v>
      </c>
      <c r="B97" s="722" t="str">
        <f t="shared" si="64"/>
        <v>CEWOKE-E</v>
      </c>
      <c r="C97" s="723" t="s">
        <v>1101</v>
      </c>
      <c r="D97" s="723" t="str">
        <f t="shared" si="65"/>
        <v>CEW</v>
      </c>
      <c r="E97" s="347">
        <f>Appliances!J28</f>
        <v>0.7</v>
      </c>
      <c r="F97" s="566">
        <f ca="1">SUMIF(AFA!$B$3:$S$3,D97,AFA!$B$4:$J$4)</f>
        <v>0.89129999999999998</v>
      </c>
      <c r="G97" s="348">
        <v>12</v>
      </c>
      <c r="H97" s="349">
        <f t="shared" ca="1" si="62"/>
        <v>4.1467519353752946</v>
      </c>
      <c r="I97" s="488">
        <f>I96</f>
        <v>24.826371391503535</v>
      </c>
      <c r="J97" s="349">
        <f t="shared" si="25"/>
        <v>2.4826371391503539</v>
      </c>
      <c r="K97" s="705">
        <v>0</v>
      </c>
      <c r="L97" s="350">
        <f>Appliances!F28</f>
        <v>1</v>
      </c>
      <c r="M97" s="349">
        <f>L97*SUMIF($C$6:$J$6,C97,$C$48:$J$48)</f>
        <v>5.28</v>
      </c>
      <c r="N97" s="349">
        <f>M97*E97</f>
        <v>3.6959999999999997</v>
      </c>
      <c r="O97" s="696"/>
      <c r="Q97" s="694"/>
      <c r="R97" s="694">
        <f t="shared" si="57"/>
        <v>0.25937502036530252</v>
      </c>
      <c r="S97" s="694">
        <f>R97</f>
        <v>0.25937502036530252</v>
      </c>
      <c r="T97" s="694">
        <f t="shared" ref="T97:Y97" si="66">S97</f>
        <v>0.25937502036530252</v>
      </c>
      <c r="U97" s="694">
        <f t="shared" si="66"/>
        <v>0.25937502036530252</v>
      </c>
      <c r="V97" s="694">
        <f t="shared" si="66"/>
        <v>0.25937502036530252</v>
      </c>
      <c r="W97" s="694">
        <f t="shared" si="66"/>
        <v>0.25937502036530252</v>
      </c>
      <c r="X97" s="694">
        <f t="shared" si="66"/>
        <v>0.25937502036530252</v>
      </c>
      <c r="Y97" s="694">
        <f t="shared" si="66"/>
        <v>0.25937502036530252</v>
      </c>
      <c r="AA97" s="696"/>
      <c r="AB97" s="694"/>
      <c r="AC97" s="694">
        <f t="shared" si="59"/>
        <v>0.25428923565225736</v>
      </c>
      <c r="AD97" s="786">
        <v>0</v>
      </c>
      <c r="AE97" s="786">
        <v>0</v>
      </c>
      <c r="AF97" s="694">
        <f t="shared" si="60"/>
        <v>0</v>
      </c>
      <c r="AG97" s="694">
        <f t="shared" si="60"/>
        <v>0</v>
      </c>
      <c r="AH97" s="694">
        <f t="shared" si="60"/>
        <v>0</v>
      </c>
      <c r="AI97" s="694">
        <f t="shared" si="60"/>
        <v>0</v>
      </c>
      <c r="AJ97" s="694">
        <f t="shared" si="61"/>
        <v>0</v>
      </c>
      <c r="AK97" s="705">
        <f t="shared" si="26"/>
        <v>37</v>
      </c>
      <c r="AP97"/>
      <c r="AQ97" s="765" t="s">
        <v>1504</v>
      </c>
      <c r="AR97" t="s">
        <v>1321</v>
      </c>
      <c r="AS97" s="722" t="s">
        <v>1322</v>
      </c>
      <c r="AT97" s="705" t="s">
        <v>647</v>
      </c>
      <c r="AU97" s="705" t="s">
        <v>662</v>
      </c>
      <c r="AV97" s="314" t="s">
        <v>734</v>
      </c>
      <c r="AW97" s="314"/>
      <c r="AZ97" s="705" t="s">
        <v>1520</v>
      </c>
      <c r="BB97" s="705" t="str">
        <f t="shared" si="23"/>
        <v>CEW</v>
      </c>
      <c r="BC97" s="705" t="str">
        <f t="shared" si="24"/>
        <v>Commercial - Water Heating - Oil Paraffin - Existing</v>
      </c>
      <c r="BD97" s="705" t="s">
        <v>647</v>
      </c>
      <c r="BF97" s="314" t="s">
        <v>734</v>
      </c>
    </row>
    <row r="98" spans="1:58">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c r="I98" s="349">
        <f>I93</f>
        <v>31.581453839889381</v>
      </c>
      <c r="J98" s="349">
        <f>I98*0.1</f>
        <v>3.1581453839889382</v>
      </c>
      <c r="K98" s="705">
        <v>0</v>
      </c>
      <c r="L98" s="350">
        <v>0</v>
      </c>
      <c r="M98" s="349">
        <v>0</v>
      </c>
      <c r="N98" s="349">
        <v>0</v>
      </c>
      <c r="O98" s="696"/>
      <c r="Q98" s="694"/>
      <c r="R98" s="694">
        <f t="shared" si="57"/>
        <v>0</v>
      </c>
      <c r="S98" s="694">
        <f t="shared" ref="S98:S99" si="67">MIN(1,$R98+S$52)</f>
        <v>0.03</v>
      </c>
      <c r="T98" s="786">
        <v>0.75</v>
      </c>
      <c r="U98" s="786">
        <v>1</v>
      </c>
      <c r="V98" s="786">
        <f t="shared" ref="V98:Y99" si="68">MIN(1,$R98+V$53)</f>
        <v>1</v>
      </c>
      <c r="W98" s="786">
        <f t="shared" si="68"/>
        <v>1</v>
      </c>
      <c r="X98" s="786">
        <f t="shared" si="68"/>
        <v>1</v>
      </c>
      <c r="Y98" s="786">
        <f t="shared" si="68"/>
        <v>1</v>
      </c>
      <c r="AA98" s="696"/>
      <c r="AB98" s="694"/>
      <c r="AC98" s="694">
        <f t="shared" si="59"/>
        <v>0</v>
      </c>
      <c r="AD98" s="786">
        <v>0</v>
      </c>
      <c r="AE98" s="786">
        <v>0</v>
      </c>
      <c r="AF98" s="694">
        <f t="shared" si="60"/>
        <v>0</v>
      </c>
      <c r="AG98" s="694">
        <f t="shared" si="60"/>
        <v>0</v>
      </c>
      <c r="AH98" s="694">
        <f t="shared" si="60"/>
        <v>0</v>
      </c>
      <c r="AI98" s="694">
        <f t="shared" si="60"/>
        <v>0</v>
      </c>
      <c r="AJ98" s="694">
        <f t="shared" si="61"/>
        <v>0</v>
      </c>
      <c r="AK98" s="705">
        <f t="shared" si="26"/>
        <v>38</v>
      </c>
      <c r="AP98"/>
      <c r="AQ98" s="765" t="s">
        <v>1504</v>
      </c>
      <c r="AR98" t="s">
        <v>1323</v>
      </c>
      <c r="AS98" s="722" t="s">
        <v>1324</v>
      </c>
      <c r="AT98" s="705" t="s">
        <v>647</v>
      </c>
      <c r="AU98" s="705" t="s">
        <v>662</v>
      </c>
      <c r="AV98" s="314" t="s">
        <v>734</v>
      </c>
      <c r="AW98" s="314"/>
      <c r="AZ98" s="705" t="s">
        <v>1520</v>
      </c>
      <c r="BB98" s="705" t="str">
        <f t="shared" si="23"/>
        <v>CEW</v>
      </c>
      <c r="BC98" s="705" t="str">
        <f t="shared" si="24"/>
        <v>Commercial - Water Heating - Electricity - New</v>
      </c>
      <c r="BD98" s="705" t="s">
        <v>647</v>
      </c>
      <c r="BF98" s="314" t="s">
        <v>1503</v>
      </c>
    </row>
    <row r="99" spans="1:58">
      <c r="A99" s="722" t="str">
        <f>A$48&amp;" - "&amp;VLOOKUP(RIGHT(C99,3),NameConv!$E$3:$F$16,2,FALSE)&amp;" - HP - New"</f>
        <v>Commercial - Water Heating - Electricity - HP - New</v>
      </c>
      <c r="B99" s="722" t="str">
        <f>D99&amp;RIGHT(C99,3)&amp;"HP-N"</f>
        <v>CEWELCHP-N</v>
      </c>
      <c r="C99" s="723" t="str">
        <f t="shared" ref="C99" si="69">$E$6</f>
        <v>COMELC</v>
      </c>
      <c r="D99" s="723" t="str">
        <f>$B$48</f>
        <v>CEW</v>
      </c>
      <c r="E99" s="347">
        <v>2.2599999999999998</v>
      </c>
      <c r="F99" s="566">
        <f ca="1">SUMIF(AFA!$B$3:$S$3,D99,AFA!$B$4:$J$4)</f>
        <v>0.89129999999999998</v>
      </c>
      <c r="G99" s="348">
        <v>10</v>
      </c>
      <c r="H99" s="349"/>
      <c r="I99" s="349">
        <f>I93*3</f>
        <v>94.744361519668146</v>
      </c>
      <c r="J99" s="349">
        <f>I99*0.1</f>
        <v>9.474436151966815</v>
      </c>
      <c r="K99" s="705">
        <v>0</v>
      </c>
      <c r="L99" s="350">
        <v>0</v>
      </c>
      <c r="M99" s="349">
        <v>0</v>
      </c>
      <c r="N99" s="349">
        <v>0</v>
      </c>
      <c r="O99" s="696"/>
      <c r="Q99" s="694"/>
      <c r="R99" s="694">
        <f t="shared" si="57"/>
        <v>0</v>
      </c>
      <c r="S99" s="694">
        <f t="shared" si="67"/>
        <v>0.03</v>
      </c>
      <c r="T99" s="786">
        <v>0.75</v>
      </c>
      <c r="U99" s="786">
        <v>1</v>
      </c>
      <c r="V99" s="786">
        <f t="shared" si="68"/>
        <v>1</v>
      </c>
      <c r="W99" s="786">
        <f t="shared" si="68"/>
        <v>1</v>
      </c>
      <c r="X99" s="786">
        <f t="shared" si="68"/>
        <v>1</v>
      </c>
      <c r="Y99" s="786">
        <f t="shared" si="68"/>
        <v>1</v>
      </c>
      <c r="AA99" s="696"/>
      <c r="AB99" s="694"/>
      <c r="AC99" s="694">
        <f t="shared" si="59"/>
        <v>0</v>
      </c>
      <c r="AD99" s="786">
        <v>0</v>
      </c>
      <c r="AE99" s="786">
        <v>0</v>
      </c>
      <c r="AF99" s="694">
        <f t="shared" si="60"/>
        <v>0</v>
      </c>
      <c r="AG99" s="694">
        <f t="shared" si="60"/>
        <v>0</v>
      </c>
      <c r="AH99" s="694">
        <f t="shared" si="60"/>
        <v>0</v>
      </c>
      <c r="AI99" s="694">
        <f t="shared" si="60"/>
        <v>0</v>
      </c>
      <c r="AJ99" s="694">
        <f t="shared" si="61"/>
        <v>0</v>
      </c>
      <c r="AK99" s="705">
        <f t="shared" si="26"/>
        <v>39</v>
      </c>
      <c r="AP99"/>
      <c r="AQ99" s="765" t="s">
        <v>1504</v>
      </c>
      <c r="AR99" t="s">
        <v>1325</v>
      </c>
      <c r="AS99" s="722" t="s">
        <v>1326</v>
      </c>
      <c r="AT99" s="705" t="s">
        <v>647</v>
      </c>
      <c r="AU99" s="705" t="s">
        <v>662</v>
      </c>
      <c r="AV99" s="314" t="s">
        <v>734</v>
      </c>
      <c r="AW99" s="314"/>
      <c r="AZ99" s="705" t="s">
        <v>1520</v>
      </c>
      <c r="BB99" s="705" t="str">
        <f t="shared" si="23"/>
        <v>CEW</v>
      </c>
      <c r="BC99" s="705" t="str">
        <f t="shared" si="24"/>
        <v>Commercial - Water Heating - Electricity - HP - New</v>
      </c>
      <c r="BD99" s="705" t="s">
        <v>647</v>
      </c>
      <c r="BF99" s="314" t="s">
        <v>1503</v>
      </c>
    </row>
    <row r="100" spans="1:58">
      <c r="A100" s="742" t="s">
        <v>1538</v>
      </c>
      <c r="F100" s="566"/>
      <c r="H100" s="349"/>
      <c r="I100" s="349"/>
      <c r="J100" s="349"/>
      <c r="L100" s="733"/>
      <c r="M100" s="356">
        <f>SUM(M93:M97)</f>
        <v>21.925554728373967</v>
      </c>
      <c r="N100" s="356">
        <f>SUM(N93:N97)</f>
        <v>14.392133809734325</v>
      </c>
      <c r="AK100" s="705">
        <f t="shared" si="26"/>
        <v>40</v>
      </c>
      <c r="AL100" s="705" t="str">
        <f>LEFT(B99,3)</f>
        <v>CEW</v>
      </c>
      <c r="AP100" s="314"/>
      <c r="AQ100" s="765" t="s">
        <v>709</v>
      </c>
      <c r="AR100"/>
      <c r="AV100" s="314"/>
      <c r="AW100" s="314"/>
      <c r="AZ100" s="705" t="s">
        <v>709</v>
      </c>
      <c r="BF100" s="314"/>
    </row>
    <row r="101" spans="1:58">
      <c r="A101" s="722" t="s">
        <v>1545</v>
      </c>
      <c r="F101" s="566"/>
      <c r="H101" s="349"/>
      <c r="I101" s="349"/>
      <c r="J101" s="349"/>
      <c r="L101" s="733"/>
      <c r="M101" s="356"/>
      <c r="N101" s="356"/>
      <c r="AK101" s="705">
        <f t="shared" si="26"/>
        <v>41</v>
      </c>
      <c r="AP101"/>
      <c r="AQ101" s="765" t="s">
        <v>709</v>
      </c>
      <c r="AR101"/>
      <c r="AV101" s="314"/>
      <c r="AW101" s="314"/>
      <c r="AZ101" s="705" t="s">
        <v>709</v>
      </c>
      <c r="BF101" s="314"/>
    </row>
    <row r="102" spans="1:58">
      <c r="A102" s="722" t="str">
        <f>A$49&amp;" - "&amp;VLOOKUP(RIGHT(C102,3),NameConv!$E$3:$F$16,2,FALSE)&amp;" - "&amp;LEFT(Appliances!B75,3)&amp;" - Existing"</f>
        <v>Commercial - Public Lights - Electricity - INC - Existing</v>
      </c>
      <c r="B102" s="722" t="str">
        <f t="shared" ref="B102:B106" si="70">D102&amp;RIGHT(C102,3)&amp;LEFT(RIGHT(A102,LEN("LIT - Existing")),3)&amp;"-E"</f>
        <v>CEGELCINC-E</v>
      </c>
      <c r="C102" s="723" t="str">
        <f t="shared" ref="C102:C107" si="71">$E$6</f>
        <v>COMELC</v>
      </c>
      <c r="D102" s="746" t="str">
        <f t="shared" ref="D102:D107" si="72">$B$49</f>
        <v>CEG</v>
      </c>
      <c r="E102" s="724">
        <f>Appliances!J75</f>
        <v>1</v>
      </c>
      <c r="F102" s="566">
        <f ca="1">SUMIF(AFA!$B$3:$S$3,D102,AFA!$B$4:$J$4)</f>
        <v>0.5464</v>
      </c>
      <c r="G102" s="348">
        <v>10</v>
      </c>
      <c r="H102" s="349">
        <f t="shared" ref="H102:H104" ca="1" si="73">(N102/F102)*(1+$H$55)</f>
        <v>0.25178255208401951</v>
      </c>
      <c r="I102" s="572">
        <f>I85</f>
        <v>0.37569687335386637</v>
      </c>
      <c r="J102" s="572">
        <f t="shared" ref="J102:J106" si="74">I102*0.1</f>
        <v>3.756968733538664E-2</v>
      </c>
      <c r="K102" s="705">
        <v>0</v>
      </c>
      <c r="L102" s="747">
        <f>Appliances!F75</f>
        <v>4.9630008962625594E-2</v>
      </c>
      <c r="M102" s="349">
        <f t="shared" ref="M102:M104" si="75">L102*SUMIF($C$6:$J$6,C102,$C$49:$J$49)</f>
        <v>0.13757398645870825</v>
      </c>
      <c r="N102" s="349">
        <f t="shared" ref="N102:N104" si="76">M102*E102</f>
        <v>0.13757398645870825</v>
      </c>
      <c r="O102" s="696"/>
      <c r="Q102" s="694"/>
      <c r="R102" s="694">
        <f t="shared" ref="R102:R107" si="77">N102/SUMIF($D$61:$D$121,$D102,$N$61:$N$121)*(1+$P$55)</f>
        <v>1.4671510186260122E-2</v>
      </c>
      <c r="S102" s="694">
        <f>R102</f>
        <v>1.4671510186260122E-2</v>
      </c>
      <c r="T102" s="694">
        <f t="shared" ref="T102:Y102" si="78">S102</f>
        <v>1.4671510186260122E-2</v>
      </c>
      <c r="U102" s="694">
        <f t="shared" si="78"/>
        <v>1.4671510186260122E-2</v>
      </c>
      <c r="V102" s="694">
        <f t="shared" si="78"/>
        <v>1.4671510186260122E-2</v>
      </c>
      <c r="W102" s="694">
        <f t="shared" si="78"/>
        <v>1.4671510186260122E-2</v>
      </c>
      <c r="X102" s="694">
        <f t="shared" si="78"/>
        <v>1.4671510186260122E-2</v>
      </c>
      <c r="Y102" s="694">
        <f t="shared" si="78"/>
        <v>1.4671510186260122E-2</v>
      </c>
      <c r="AA102" s="696"/>
      <c r="AB102" s="694"/>
      <c r="AC102" s="694">
        <v>0.01</v>
      </c>
      <c r="AD102" s="786">
        <v>0</v>
      </c>
      <c r="AE102" s="786">
        <v>0</v>
      </c>
      <c r="AF102" s="694">
        <v>0</v>
      </c>
      <c r="AG102" s="694">
        <v>0</v>
      </c>
      <c r="AH102" s="694">
        <v>0</v>
      </c>
      <c r="AI102" s="694">
        <v>0</v>
      </c>
      <c r="AJ102" s="694">
        <v>0</v>
      </c>
      <c r="AK102" s="705">
        <f t="shared" si="26"/>
        <v>42</v>
      </c>
      <c r="AP102" s="314"/>
      <c r="AQ102" s="765" t="s">
        <v>1504</v>
      </c>
      <c r="AR102" t="s">
        <v>1389</v>
      </c>
      <c r="AS102" s="722" t="s">
        <v>1390</v>
      </c>
      <c r="AT102" s="705" t="s">
        <v>647</v>
      </c>
      <c r="AU102" s="705" t="s">
        <v>662</v>
      </c>
      <c r="AV102" s="314" t="s">
        <v>734</v>
      </c>
      <c r="AW102" s="314"/>
      <c r="AZ102" s="705" t="s">
        <v>1520</v>
      </c>
      <c r="BB102" s="705" t="str">
        <f t="shared" si="23"/>
        <v>CEG</v>
      </c>
      <c r="BC102" s="705" t="str">
        <f t="shared" si="24"/>
        <v>Commercial - Public Lights - Electricity - INC - Existing</v>
      </c>
      <c r="BD102" s="705" t="s">
        <v>647</v>
      </c>
      <c r="BF102" s="314" t="s">
        <v>1503</v>
      </c>
    </row>
    <row r="103" spans="1:58">
      <c r="A103" s="722" t="str">
        <f>A$49&amp;" - "&amp;VLOOKUP(RIGHT(C103,3),NameConv!$E$3:$F$16,2,FALSE)&amp;" - "&amp;LEFT(Appliances!B76,3)&amp;" - Existing"</f>
        <v>Commercial - Public Lights - Electricity - HAL - Existing</v>
      </c>
      <c r="B103" s="722" t="str">
        <f t="shared" si="70"/>
        <v>CEGELCHAL-E</v>
      </c>
      <c r="C103" s="723" t="str">
        <f t="shared" si="71"/>
        <v>COMELC</v>
      </c>
      <c r="D103" s="746" t="str">
        <f t="shared" si="72"/>
        <v>CEG</v>
      </c>
      <c r="E103" s="724">
        <f>Appliances!J76</f>
        <v>2</v>
      </c>
      <c r="F103" s="566">
        <f ca="1">SUMIF(AFA!$B$3:$S$3,D103,AFA!$B$4:$J$4)</f>
        <v>0.5464</v>
      </c>
      <c r="G103" s="348">
        <v>10</v>
      </c>
      <c r="H103" s="349">
        <f ca="1">(N103/F103)*(1+$H$55)</f>
        <v>0.50356510416803901</v>
      </c>
      <c r="I103" s="572">
        <f>I83</f>
        <v>1.0658202070873248</v>
      </c>
      <c r="J103" s="572">
        <f t="shared" si="74"/>
        <v>0.10658202070873249</v>
      </c>
      <c r="K103" s="705">
        <v>0</v>
      </c>
      <c r="L103" s="747">
        <f>Appliances!F76</f>
        <v>4.9630008962625594E-2</v>
      </c>
      <c r="M103" s="349">
        <f t="shared" si="75"/>
        <v>0.13757398645870825</v>
      </c>
      <c r="N103" s="349">
        <f t="shared" si="76"/>
        <v>0.27514797291741649</v>
      </c>
      <c r="P103" s="696"/>
      <c r="Q103" s="694"/>
      <c r="R103" s="694">
        <f t="shared" si="77"/>
        <v>2.9343020372520245E-2</v>
      </c>
      <c r="S103" s="694">
        <f t="shared" ref="S103:Y107" si="79">MIN(1,$R103+S$52)</f>
        <v>5.9343020372520247E-2</v>
      </c>
      <c r="T103" s="694">
        <f t="shared" si="79"/>
        <v>0.12934302037252024</v>
      </c>
      <c r="U103" s="694">
        <f t="shared" si="79"/>
        <v>0.32934302037252022</v>
      </c>
      <c r="V103" s="694">
        <f t="shared" si="79"/>
        <v>0.57934302037252028</v>
      </c>
      <c r="W103" s="694">
        <f t="shared" si="79"/>
        <v>0.87934302037252021</v>
      </c>
      <c r="X103" s="694">
        <f t="shared" si="79"/>
        <v>0.97934302037252019</v>
      </c>
      <c r="Y103" s="694">
        <f t="shared" si="79"/>
        <v>1</v>
      </c>
      <c r="AA103" s="696"/>
      <c r="AB103" s="694"/>
      <c r="AC103" s="694">
        <f>R103/(1+$P$55+$AA$55)</f>
        <v>2.8767667031882594E-2</v>
      </c>
      <c r="AD103" s="786">
        <v>0</v>
      </c>
      <c r="AE103" s="786">
        <v>0</v>
      </c>
      <c r="AF103" s="694">
        <f t="shared" ref="AF103:AI107" si="80">$AC103*AF$52</f>
        <v>0</v>
      </c>
      <c r="AG103" s="694">
        <f t="shared" si="80"/>
        <v>0</v>
      </c>
      <c r="AH103" s="694">
        <f t="shared" si="80"/>
        <v>0</v>
      </c>
      <c r="AI103" s="694">
        <f t="shared" si="80"/>
        <v>0</v>
      </c>
      <c r="AJ103" s="694">
        <f>$AA103*AJ$52</f>
        <v>0</v>
      </c>
      <c r="AK103" s="705">
        <f t="shared" si="26"/>
        <v>43</v>
      </c>
      <c r="AP103"/>
      <c r="AQ103" s="765" t="s">
        <v>1504</v>
      </c>
      <c r="AR103" t="s">
        <v>1391</v>
      </c>
      <c r="AS103" s="722" t="s">
        <v>1392</v>
      </c>
      <c r="AT103" s="705" t="s">
        <v>647</v>
      </c>
      <c r="AU103" s="705" t="s">
        <v>662</v>
      </c>
      <c r="AV103" s="314" t="s">
        <v>734</v>
      </c>
      <c r="AW103" s="314"/>
      <c r="AZ103" s="705" t="s">
        <v>1520</v>
      </c>
      <c r="BB103" s="705" t="str">
        <f t="shared" si="23"/>
        <v>CEG</v>
      </c>
      <c r="BC103" s="705" t="str">
        <f t="shared" si="24"/>
        <v>Commercial - Public Lights - Electricity - HAL - Existing</v>
      </c>
      <c r="BD103" s="705" t="s">
        <v>647</v>
      </c>
      <c r="BF103" s="314" t="s">
        <v>1503</v>
      </c>
    </row>
    <row r="104" spans="1:58">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71"/>
        <v>COMELC</v>
      </c>
      <c r="D104" s="746" t="str">
        <f t="shared" si="72"/>
        <v>CEG</v>
      </c>
      <c r="E104" s="724">
        <f>Appliances!J77</f>
        <v>2.4</v>
      </c>
      <c r="F104" s="566">
        <f ca="1">SUMIF(AFA!$B$3:$S$3,D104,AFA!$B$4:$J$4)</f>
        <v>0.5464</v>
      </c>
      <c r="G104" s="348">
        <v>10</v>
      </c>
      <c r="H104" s="349">
        <f t="shared" ca="1" si="73"/>
        <v>7.6415394562277434</v>
      </c>
      <c r="I104" s="572">
        <f>I105</f>
        <v>1.0658202070873248</v>
      </c>
      <c r="J104" s="572">
        <f t="shared" si="74"/>
        <v>0.10658202070873249</v>
      </c>
      <c r="K104" s="705">
        <v>0</v>
      </c>
      <c r="L104" s="747">
        <f>Appliances!F77</f>
        <v>0.62760781171717339</v>
      </c>
      <c r="M104" s="349">
        <f t="shared" si="75"/>
        <v>1.7397238162011832</v>
      </c>
      <c r="N104" s="349">
        <f t="shared" si="76"/>
        <v>4.1753371588828392</v>
      </c>
      <c r="P104" s="696"/>
      <c r="Q104" s="694"/>
      <c r="R104" s="694">
        <f t="shared" si="77"/>
        <v>0.44527677967670315</v>
      </c>
      <c r="S104" s="694">
        <f t="shared" si="79"/>
        <v>0.47527677967670312</v>
      </c>
      <c r="T104" s="694">
        <f t="shared" si="79"/>
        <v>0.54527677967670318</v>
      </c>
      <c r="U104" s="694">
        <f t="shared" si="79"/>
        <v>0.74527677967670314</v>
      </c>
      <c r="V104" s="694">
        <f t="shared" si="79"/>
        <v>0.99527677967670325</v>
      </c>
      <c r="W104" s="694">
        <f t="shared" si="79"/>
        <v>1</v>
      </c>
      <c r="X104" s="694">
        <f t="shared" si="79"/>
        <v>1</v>
      </c>
      <c r="Y104" s="694">
        <f t="shared" si="79"/>
        <v>1</v>
      </c>
      <c r="AA104" s="696"/>
      <c r="AB104" s="694"/>
      <c r="AC104" s="694">
        <f>R104/(1+$P$55+$AA$55)</f>
        <v>0.43654586242814031</v>
      </c>
      <c r="AD104" s="786">
        <v>0</v>
      </c>
      <c r="AE104" s="786">
        <v>0</v>
      </c>
      <c r="AF104" s="694">
        <f t="shared" si="80"/>
        <v>0</v>
      </c>
      <c r="AG104" s="694">
        <f t="shared" si="80"/>
        <v>0</v>
      </c>
      <c r="AH104" s="694">
        <f t="shared" si="80"/>
        <v>0</v>
      </c>
      <c r="AI104" s="694">
        <f t="shared" si="80"/>
        <v>0</v>
      </c>
      <c r="AJ104" s="694">
        <f>$AA104*AJ$52</f>
        <v>0</v>
      </c>
      <c r="AK104" s="705">
        <f t="shared" si="26"/>
        <v>44</v>
      </c>
      <c r="AP104"/>
      <c r="AQ104" s="765" t="s">
        <v>1504</v>
      </c>
      <c r="AR104" t="s">
        <v>1393</v>
      </c>
      <c r="AS104" s="722" t="s">
        <v>1394</v>
      </c>
      <c r="AT104" s="705" t="s">
        <v>647</v>
      </c>
      <c r="AU104" s="705" t="s">
        <v>662</v>
      </c>
      <c r="AV104" s="314" t="s">
        <v>734</v>
      </c>
      <c r="AW104" s="314"/>
      <c r="AZ104" s="705" t="s">
        <v>1520</v>
      </c>
      <c r="BB104" s="705" t="str">
        <f t="shared" si="23"/>
        <v>CEG</v>
      </c>
      <c r="BC104" s="705" t="str">
        <f t="shared" si="24"/>
        <v>Commercial - Public Lights - Electricity - HPM - Existing</v>
      </c>
      <c r="BD104" s="705" t="s">
        <v>647</v>
      </c>
      <c r="BF104" s="314" t="s">
        <v>1503</v>
      </c>
    </row>
    <row r="105" spans="1:58">
      <c r="A105" s="722" t="str">
        <f>A$49&amp;" - "&amp;VLOOKUP(RIGHT(C105,3),NameConv!$E$3:$F$16,2,FALSE)&amp;" - "&amp;LEFT(Appliances!B78,3)&amp;" - Existing"</f>
        <v>Commercial - Public Lights - Electricity - HPS - Existing</v>
      </c>
      <c r="B105" s="722" t="str">
        <f t="shared" si="70"/>
        <v>CEGELCHPS-E</v>
      </c>
      <c r="C105" s="723" t="str">
        <f t="shared" si="71"/>
        <v>COMELC</v>
      </c>
      <c r="D105" s="746" t="str">
        <f t="shared" si="72"/>
        <v>CEG</v>
      </c>
      <c r="E105" s="724">
        <f>Appliances!J78</f>
        <v>6.5</v>
      </c>
      <c r="F105" s="566">
        <f ca="1">SUMIF(AFA!$B$3:$S$3,D105,AFA!$B$4:$J$4)</f>
        <v>0.5464</v>
      </c>
      <c r="G105" s="348">
        <v>12</v>
      </c>
      <c r="H105" s="349">
        <f ca="1">(N105/F105)*(1+$H$55)</f>
        <v>8.7004302651322494</v>
      </c>
      <c r="I105" s="572">
        <f>I83</f>
        <v>1.0658202070873248</v>
      </c>
      <c r="J105" s="572">
        <f t="shared" si="74"/>
        <v>0.10658202070873249</v>
      </c>
      <c r="K105" s="705">
        <v>0</v>
      </c>
      <c r="L105" s="747">
        <f>Appliances!F78</f>
        <v>0.26384331575196845</v>
      </c>
      <c r="M105" s="349">
        <f>L105*SUMIF($C$6:$J$6,C105,$C$49:$J$49)</f>
        <v>0.73137155336434789</v>
      </c>
      <c r="N105" s="349">
        <f>M105*E105</f>
        <v>4.7539150968682611</v>
      </c>
      <c r="P105" s="696"/>
      <c r="Q105" s="694"/>
      <c r="R105" s="694">
        <f t="shared" si="77"/>
        <v>0.50697893957774143</v>
      </c>
      <c r="S105" s="694">
        <f t="shared" si="79"/>
        <v>0.53697893957774145</v>
      </c>
      <c r="T105" s="694">
        <f t="shared" si="79"/>
        <v>0.60697893957774141</v>
      </c>
      <c r="U105" s="694">
        <f t="shared" si="79"/>
        <v>0.80697893957774136</v>
      </c>
      <c r="V105" s="694">
        <f t="shared" si="79"/>
        <v>1</v>
      </c>
      <c r="W105" s="694">
        <f t="shared" si="79"/>
        <v>1</v>
      </c>
      <c r="X105" s="694">
        <f t="shared" si="79"/>
        <v>1</v>
      </c>
      <c r="Y105" s="694">
        <f t="shared" si="79"/>
        <v>1</v>
      </c>
      <c r="AA105" s="696"/>
      <c r="AB105" s="694"/>
      <c r="AC105" s="694">
        <f>R105/(1+$P$55+$AA$55)</f>
        <v>0.49703817605660922</v>
      </c>
      <c r="AD105" s="786">
        <v>0</v>
      </c>
      <c r="AE105" s="786">
        <v>0</v>
      </c>
      <c r="AF105" s="694">
        <f t="shared" si="80"/>
        <v>0</v>
      </c>
      <c r="AG105" s="694">
        <f t="shared" si="80"/>
        <v>0</v>
      </c>
      <c r="AH105" s="694">
        <f t="shared" si="80"/>
        <v>0</v>
      </c>
      <c r="AI105" s="694">
        <f t="shared" si="80"/>
        <v>0</v>
      </c>
      <c r="AJ105" s="694">
        <f>$AA105*AJ$52</f>
        <v>0</v>
      </c>
      <c r="AK105" s="705">
        <f t="shared" si="26"/>
        <v>45</v>
      </c>
      <c r="AP105"/>
      <c r="AQ105" s="765" t="s">
        <v>1504</v>
      </c>
      <c r="AR105" t="s">
        <v>1395</v>
      </c>
      <c r="AS105" s="722" t="s">
        <v>1396</v>
      </c>
      <c r="AT105" s="705" t="s">
        <v>647</v>
      </c>
      <c r="AU105" s="705" t="s">
        <v>662</v>
      </c>
      <c r="AV105" s="314" t="s">
        <v>734</v>
      </c>
      <c r="AW105" s="314"/>
      <c r="AZ105" s="705" t="s">
        <v>1520</v>
      </c>
      <c r="BB105" s="705" t="str">
        <f t="shared" si="23"/>
        <v>CEG</v>
      </c>
      <c r="BC105" s="705" t="str">
        <f t="shared" si="24"/>
        <v>Commercial - Public Lights - Electricity - HPS - Existing</v>
      </c>
      <c r="BD105" s="705" t="s">
        <v>647</v>
      </c>
      <c r="BF105" s="314" t="s">
        <v>1503</v>
      </c>
    </row>
    <row r="106" spans="1:58">
      <c r="A106" s="722" t="str">
        <f>A$49&amp;" - "&amp;VLOOKUP(RIGHT(C106,3),NameConv!$E$3:$F$16,2,FALSE)&amp;" - "&amp;LEFT(Appliances!B79,3)&amp;" - Existing"</f>
        <v>Commercial - Public Lights - Electricity - MHL - Existing</v>
      </c>
      <c r="B106" s="722" t="str">
        <f t="shared" si="70"/>
        <v>CEGELCMHL-E</v>
      </c>
      <c r="C106" s="723" t="str">
        <f t="shared" si="71"/>
        <v>COMELC</v>
      </c>
      <c r="D106" s="746" t="str">
        <f t="shared" si="72"/>
        <v>CEG</v>
      </c>
      <c r="E106" s="724">
        <f>Appliances!J79</f>
        <v>5</v>
      </c>
      <c r="F106" s="566">
        <f ca="1">SUMIF(AFA!$B$3:$S$3,D106,AFA!$B$4:$J$4)</f>
        <v>0.5464</v>
      </c>
      <c r="G106" s="348">
        <v>10</v>
      </c>
      <c r="H106" s="349">
        <f t="shared" ref="H106" ca="1" si="81">(N106/F106)*(1+$H$55)</f>
        <v>0.23562070281896844</v>
      </c>
      <c r="I106" s="572">
        <f>I84</f>
        <v>0.43103023080737402</v>
      </c>
      <c r="J106" s="572">
        <f t="shared" si="74"/>
        <v>4.3103023080737407E-2</v>
      </c>
      <c r="K106" s="705">
        <v>0</v>
      </c>
      <c r="L106" s="747">
        <f>Appliances!F79</f>
        <v>9.2888546056069232E-3</v>
      </c>
      <c r="M106" s="349">
        <f t="shared" ref="M106:M107" si="82">L106*SUMIF($C$6:$J$6,C106,$C$49:$J$49)</f>
        <v>2.5748630404056873E-2</v>
      </c>
      <c r="N106" s="349">
        <f t="shared" ref="N106:N107" si="83">M106*E106</f>
        <v>0.12874315202028436</v>
      </c>
      <c r="P106" s="696"/>
      <c r="Q106" s="694"/>
      <c r="R106" s="694">
        <f t="shared" si="77"/>
        <v>1.3729750186775047E-2</v>
      </c>
      <c r="S106" s="694">
        <f t="shared" si="79"/>
        <v>4.3729750186775045E-2</v>
      </c>
      <c r="T106" s="694">
        <f t="shared" si="79"/>
        <v>0.11372975018677506</v>
      </c>
      <c r="U106" s="694">
        <f t="shared" si="79"/>
        <v>0.31372975018677501</v>
      </c>
      <c r="V106" s="694">
        <f t="shared" si="79"/>
        <v>0.56372975018677507</v>
      </c>
      <c r="W106" s="694">
        <f t="shared" si="79"/>
        <v>0.863729750186775</v>
      </c>
      <c r="X106" s="694">
        <f t="shared" si="79"/>
        <v>0.96372975018677498</v>
      </c>
      <c r="Y106" s="694">
        <f t="shared" si="79"/>
        <v>1</v>
      </c>
      <c r="AA106" s="696"/>
      <c r="AB106" s="694"/>
      <c r="AC106" s="694">
        <f>R106/(1+$P$55+$AA$55)</f>
        <v>1.3460539398799065E-2</v>
      </c>
      <c r="AD106" s="786">
        <v>0</v>
      </c>
      <c r="AE106" s="786">
        <v>0</v>
      </c>
      <c r="AF106" s="694">
        <f t="shared" si="80"/>
        <v>0</v>
      </c>
      <c r="AG106" s="694">
        <f t="shared" si="80"/>
        <v>0</v>
      </c>
      <c r="AH106" s="694">
        <f t="shared" si="80"/>
        <v>0</v>
      </c>
      <c r="AI106" s="694">
        <f t="shared" si="80"/>
        <v>0</v>
      </c>
      <c r="AJ106" s="694">
        <f>$AA106*AJ$52</f>
        <v>0</v>
      </c>
      <c r="AK106" s="705">
        <f t="shared" si="26"/>
        <v>46</v>
      </c>
      <c r="AP106"/>
      <c r="AQ106" s="765" t="s">
        <v>1504</v>
      </c>
      <c r="AR106" t="s">
        <v>1397</v>
      </c>
      <c r="AS106" s="722" t="s">
        <v>1398</v>
      </c>
      <c r="AT106" s="705" t="s">
        <v>647</v>
      </c>
      <c r="AU106" s="705" t="s">
        <v>662</v>
      </c>
      <c r="AV106" s="314" t="s">
        <v>734</v>
      </c>
      <c r="AW106" s="314"/>
      <c r="AZ106" s="705" t="s">
        <v>1520</v>
      </c>
      <c r="BB106" s="705" t="str">
        <f t="shared" si="23"/>
        <v>CEG</v>
      </c>
      <c r="BC106" s="705" t="str">
        <f t="shared" si="24"/>
        <v>Commercial - Public Lights - Electricity - MHL - Existing</v>
      </c>
      <c r="BD106" s="705" t="s">
        <v>647</v>
      </c>
      <c r="BF106" s="314" t="s">
        <v>1503</v>
      </c>
    </row>
    <row r="107" spans="1:58">
      <c r="A107" s="722" t="str">
        <f>A$49&amp;" - "&amp;VLOOKUP(RIGHT(C107,3),NameConv!$E$3:$F$16,2,FALSE)&amp;" - "&amp;LEFT(Appliances!B80,3)&amp;" - New"</f>
        <v>Commercial - Public Lights - Electricity - LED - New</v>
      </c>
      <c r="B107" s="722" t="str">
        <f t="shared" ref="B107" si="84">D107&amp;RIGHT(C107,3)&amp;LEFT(RIGHT(A107,LEN("LIT - NEW")),3)&amp;"-N"</f>
        <v>CEGELCLED-N</v>
      </c>
      <c r="C107" s="723" t="str">
        <f t="shared" si="71"/>
        <v>COMELC</v>
      </c>
      <c r="D107" s="746" t="str">
        <f t="shared" si="72"/>
        <v>CEG</v>
      </c>
      <c r="E107" s="724">
        <f>Appliances!J80</f>
        <v>9.8000000000000007</v>
      </c>
      <c r="F107" s="566">
        <f ca="1">SUMIF(AFA!$B$3:$S$3,D107,AFA!$B$4:$J$4)</f>
        <v>0.5464</v>
      </c>
      <c r="G107" s="348">
        <v>10</v>
      </c>
      <c r="H107" s="349"/>
      <c r="I107" s="349">
        <f>I86</f>
        <v>6.9235566660926731</v>
      </c>
      <c r="J107" s="349">
        <f>I107*0.1</f>
        <v>0.6923556666092674</v>
      </c>
      <c r="K107" s="705">
        <v>0</v>
      </c>
      <c r="L107" s="747">
        <v>0</v>
      </c>
      <c r="M107" s="349">
        <f t="shared" si="82"/>
        <v>0</v>
      </c>
      <c r="N107" s="349">
        <f t="shared" si="83"/>
        <v>0</v>
      </c>
      <c r="P107" s="696"/>
      <c r="Q107" s="694"/>
      <c r="R107" s="694">
        <f t="shared" si="77"/>
        <v>0</v>
      </c>
      <c r="S107" s="694">
        <f t="shared" si="79"/>
        <v>0.03</v>
      </c>
      <c r="T107" s="786">
        <v>0.75</v>
      </c>
      <c r="U107" s="786">
        <v>1</v>
      </c>
      <c r="V107" s="786">
        <f t="shared" ref="V107:Y107" si="85">MIN(1,$R107+V$53)</f>
        <v>1</v>
      </c>
      <c r="W107" s="786">
        <f t="shared" si="85"/>
        <v>1</v>
      </c>
      <c r="X107" s="786">
        <f t="shared" si="85"/>
        <v>1</v>
      </c>
      <c r="Y107" s="786">
        <f t="shared" si="85"/>
        <v>1</v>
      </c>
      <c r="AA107" s="696"/>
      <c r="AB107" s="694"/>
      <c r="AC107" s="694">
        <f>R107/(1+$P$55+$AA$55)</f>
        <v>0</v>
      </c>
      <c r="AD107" s="786">
        <v>0</v>
      </c>
      <c r="AE107" s="786">
        <v>0</v>
      </c>
      <c r="AF107" s="694">
        <f t="shared" si="80"/>
        <v>0</v>
      </c>
      <c r="AG107" s="694">
        <f t="shared" si="80"/>
        <v>0</v>
      </c>
      <c r="AH107" s="694">
        <f t="shared" si="80"/>
        <v>0</v>
      </c>
      <c r="AI107" s="694">
        <f t="shared" si="80"/>
        <v>0</v>
      </c>
      <c r="AJ107" s="694">
        <f>$AA107*AJ$52</f>
        <v>0</v>
      </c>
      <c r="AK107" s="705">
        <f t="shared" si="26"/>
        <v>47</v>
      </c>
      <c r="AP107"/>
      <c r="AQ107" s="765" t="s">
        <v>1504</v>
      </c>
      <c r="AR107" t="s">
        <v>1399</v>
      </c>
      <c r="AS107" s="722" t="s">
        <v>1400</v>
      </c>
      <c r="AT107" s="705" t="s">
        <v>647</v>
      </c>
      <c r="AU107" s="705" t="s">
        <v>662</v>
      </c>
      <c r="AV107" s="314" t="s">
        <v>734</v>
      </c>
      <c r="AW107" s="314"/>
      <c r="AZ107" s="705" t="s">
        <v>1520</v>
      </c>
      <c r="BB107" s="705" t="str">
        <f t="shared" si="23"/>
        <v>CEG</v>
      </c>
      <c r="BC107" s="705" t="str">
        <f t="shared" si="24"/>
        <v>Commercial - Public Lights - Electricity - LED - New</v>
      </c>
      <c r="BD107" s="705" t="s">
        <v>647</v>
      </c>
      <c r="BF107" s="314" t="s">
        <v>1503</v>
      </c>
    </row>
    <row r="108" spans="1:58">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6"/>
        <v>48</v>
      </c>
      <c r="AL108" s="705" t="str">
        <f>LEFT(B107,3)</f>
        <v>CEG</v>
      </c>
      <c r="AP108"/>
      <c r="AQ108" s="765" t="s">
        <v>709</v>
      </c>
      <c r="AR108"/>
      <c r="AS108" s="722"/>
      <c r="AV108" s="314"/>
      <c r="AW108" s="314"/>
      <c r="AZ108" s="705" t="s">
        <v>709</v>
      </c>
      <c r="BF108" s="314"/>
    </row>
    <row r="109" spans="1:58">
      <c r="A109" s="722" t="s">
        <v>1546</v>
      </c>
      <c r="B109" s="722"/>
      <c r="D109" s="746"/>
      <c r="F109" s="566"/>
      <c r="H109" s="349"/>
      <c r="I109" s="349"/>
      <c r="J109" s="349"/>
      <c r="L109" s="733"/>
      <c r="M109" s="356"/>
      <c r="N109" s="356"/>
      <c r="AK109" s="705">
        <f t="shared" si="26"/>
        <v>49</v>
      </c>
      <c r="AP109"/>
      <c r="AQ109" s="765" t="s">
        <v>709</v>
      </c>
      <c r="AR109"/>
      <c r="AS109" s="722"/>
      <c r="AV109" s="314"/>
      <c r="AW109" s="314"/>
      <c r="AZ109" s="705" t="s">
        <v>709</v>
      </c>
      <c r="BF109" s="314"/>
    </row>
    <row r="110" spans="1:58">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K110" s="705">
        <v>0</v>
      </c>
      <c r="L110" s="733">
        <f>Appliances!F50</f>
        <v>1</v>
      </c>
      <c r="M110" s="349">
        <f>L110*SUMIF($C$6:$J$6,C110,$C$50:$J$50)</f>
        <v>3.2726019758762139</v>
      </c>
      <c r="N110" s="349">
        <f>M110*E110</f>
        <v>3.2726019758762139</v>
      </c>
      <c r="P110" s="696"/>
      <c r="Q110" s="694"/>
      <c r="R110" s="694">
        <f>N110/SUMIF($D$61:$D$121,$D110,$N$61:$N$121)*(1+$P$55)</f>
        <v>1.01</v>
      </c>
      <c r="S110" s="694">
        <f t="shared" ref="S110" si="86">MIN(1,$R110+S$52)</f>
        <v>1</v>
      </c>
      <c r="T110" s="786">
        <f>MIN(1,$R110+T$53)</f>
        <v>1</v>
      </c>
      <c r="U110" s="786">
        <f t="shared" ref="U110:Y110" si="87">MIN(1,$R110+U$53)</f>
        <v>1</v>
      </c>
      <c r="V110" s="786">
        <f t="shared" si="87"/>
        <v>1</v>
      </c>
      <c r="W110" s="786">
        <f t="shared" si="87"/>
        <v>1</v>
      </c>
      <c r="X110" s="786">
        <f t="shared" si="87"/>
        <v>1</v>
      </c>
      <c r="Y110" s="786">
        <f t="shared" si="87"/>
        <v>1</v>
      </c>
      <c r="AA110" s="696"/>
      <c r="AB110" s="694"/>
      <c r="AC110" s="694">
        <f>R110/(1+$P$55+$AA$55)</f>
        <v>0.99019607843137258</v>
      </c>
      <c r="AD110" s="694">
        <f t="shared" ref="AD110:AI110" si="88">$AC110*AD$52</f>
        <v>0.96049019607843134</v>
      </c>
      <c r="AE110" s="694">
        <f t="shared" si="88"/>
        <v>0.74264705882352944</v>
      </c>
      <c r="AF110" s="694">
        <f t="shared" si="88"/>
        <v>0</v>
      </c>
      <c r="AG110" s="694">
        <f t="shared" si="88"/>
        <v>0</v>
      </c>
      <c r="AH110" s="694">
        <f t="shared" si="88"/>
        <v>0</v>
      </c>
      <c r="AI110" s="694">
        <f t="shared" si="88"/>
        <v>0</v>
      </c>
      <c r="AJ110" s="694">
        <f>$AA110*AJ$52</f>
        <v>0</v>
      </c>
      <c r="AK110" s="705">
        <f t="shared" si="26"/>
        <v>50</v>
      </c>
      <c r="AP110"/>
      <c r="AQ110" s="765" t="s">
        <v>1504</v>
      </c>
      <c r="AR110" t="s">
        <v>1401</v>
      </c>
      <c r="AS110" s="722" t="s">
        <v>1402</v>
      </c>
      <c r="AT110" s="705" t="s">
        <v>647</v>
      </c>
      <c r="AU110" s="705" t="s">
        <v>662</v>
      </c>
      <c r="AV110" s="314" t="s">
        <v>734</v>
      </c>
      <c r="AW110"/>
      <c r="AZ110" s="705" t="s">
        <v>1520</v>
      </c>
      <c r="BB110" s="705" t="str">
        <f t="shared" si="23"/>
        <v>CET</v>
      </c>
      <c r="BC110" s="705" t="str">
        <f t="shared" si="24"/>
        <v>Commercial - Public Water - Electricity -  - Existing</v>
      </c>
      <c r="BD110" s="705" t="s">
        <v>647</v>
      </c>
      <c r="BF110" s="314" t="s">
        <v>1503</v>
      </c>
    </row>
    <row r="111" spans="1:58">
      <c r="A111" s="742" t="s">
        <v>1538</v>
      </c>
      <c r="F111" s="566"/>
      <c r="H111" s="349"/>
      <c r="I111" s="349"/>
      <c r="J111" s="349"/>
      <c r="L111" s="733"/>
      <c r="M111" s="356"/>
      <c r="N111" s="356"/>
      <c r="AK111" s="705">
        <f t="shared" si="26"/>
        <v>51</v>
      </c>
      <c r="AL111" s="705" t="str">
        <f>LEFT(B110,3)</f>
        <v>CET</v>
      </c>
      <c r="AP111"/>
      <c r="AQ111" s="765" t="s">
        <v>709</v>
      </c>
      <c r="AR111"/>
      <c r="AV111" s="314"/>
      <c r="AW111"/>
      <c r="AZ111" s="705" t="s">
        <v>709</v>
      </c>
      <c r="BF111" s="314"/>
    </row>
    <row r="112" spans="1:58">
      <c r="A112" s="722" t="s">
        <v>1547</v>
      </c>
      <c r="B112" s="722"/>
      <c r="C112" s="743"/>
      <c r="D112" s="743"/>
      <c r="E112" s="738"/>
      <c r="F112" s="566"/>
      <c r="G112" s="738"/>
      <c r="H112" s="349"/>
      <c r="I112" s="349"/>
      <c r="J112" s="349"/>
      <c r="K112" s="698"/>
      <c r="L112" s="745"/>
      <c r="M112" s="745"/>
      <c r="AK112" s="705">
        <f t="shared" si="26"/>
        <v>52</v>
      </c>
      <c r="AP112"/>
      <c r="AQ112" s="765" t="s">
        <v>709</v>
      </c>
      <c r="AR112"/>
      <c r="AS112" s="722"/>
      <c r="AV112"/>
      <c r="AW112"/>
      <c r="AZ112" s="705" t="s">
        <v>709</v>
      </c>
      <c r="BF112"/>
    </row>
    <row r="113" spans="1:58">
      <c r="A113" s="722" t="str">
        <f>A$51&amp;" - "&amp;VLOOKUP(RIGHT(C113,3),NameConv!$E$3:$F$16,2,FALSE)&amp;" - Existing"</f>
        <v>Commercial - Other - Coal - Existing</v>
      </c>
      <c r="B113" s="722" t="str">
        <f t="shared" ref="B113:B119" si="89">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5"/>
        <v>41.088682603593845</v>
      </c>
      <c r="K113" s="705">
        <v>0</v>
      </c>
      <c r="L113" s="350">
        <f>Appliances!F27</f>
        <v>1</v>
      </c>
      <c r="M113" s="349">
        <f t="shared" ref="M113:M119" si="90">L113*SUMIF($C$6:$J$6,C113,$C$51:$J$51)</f>
        <v>0</v>
      </c>
      <c r="N113" s="349">
        <f t="shared" ref="N113:N119" si="91">M113*E113</f>
        <v>0</v>
      </c>
      <c r="P113" s="696"/>
      <c r="Q113" s="694"/>
      <c r="R113" s="694">
        <f t="shared" ref="R113:R119" si="92">N113/SUMIF($D$61:$D$121,$D113,$N$61:$N$121)*(1+$P$55)</f>
        <v>0</v>
      </c>
      <c r="S113" s="699">
        <f>R113</f>
        <v>0</v>
      </c>
      <c r="T113" s="699">
        <v>0</v>
      </c>
      <c r="U113" s="699">
        <v>0</v>
      </c>
      <c r="V113" s="699">
        <v>0</v>
      </c>
      <c r="W113" s="699">
        <v>0</v>
      </c>
      <c r="X113" s="699">
        <v>0</v>
      </c>
      <c r="Y113" s="699">
        <v>0</v>
      </c>
      <c r="AA113" s="696"/>
      <c r="AB113" s="694"/>
      <c r="AC113" s="694">
        <f t="shared" ref="AC113:AC119" si="93">R113/(1+$P$55+$AA$55)</f>
        <v>0</v>
      </c>
      <c r="AD113" s="786">
        <v>0</v>
      </c>
      <c r="AE113" s="786">
        <v>0</v>
      </c>
      <c r="AF113" s="694">
        <f t="shared" ref="AF113:AI119" si="94">$AC113*AF$52</f>
        <v>0</v>
      </c>
      <c r="AG113" s="694">
        <f t="shared" si="94"/>
        <v>0</v>
      </c>
      <c r="AH113" s="694">
        <f t="shared" si="94"/>
        <v>0</v>
      </c>
      <c r="AI113" s="694">
        <f t="shared" si="94"/>
        <v>0</v>
      </c>
      <c r="AJ113" s="694">
        <f t="shared" ref="AJ113:AJ119" si="95">AI113</f>
        <v>0</v>
      </c>
      <c r="AK113" s="705">
        <f t="shared" si="26"/>
        <v>53</v>
      </c>
      <c r="AP113"/>
      <c r="AQ113" s="765" t="s">
        <v>1504</v>
      </c>
      <c r="AR113" t="s">
        <v>1327</v>
      </c>
      <c r="AS113" s="722" t="s">
        <v>1328</v>
      </c>
      <c r="AT113" s="705" t="s">
        <v>647</v>
      </c>
      <c r="AU113" s="705" t="s">
        <v>662</v>
      </c>
      <c r="AV113" s="314" t="s">
        <v>734</v>
      </c>
      <c r="AW113"/>
      <c r="AZ113" s="705" t="s">
        <v>1520</v>
      </c>
      <c r="BB113" s="705" t="str">
        <f t="shared" si="23"/>
        <v>CEO</v>
      </c>
      <c r="BC113" s="705" t="str">
        <f t="shared" si="24"/>
        <v>Commercial - Other - Coal - Existing</v>
      </c>
      <c r="BD113" s="705" t="s">
        <v>647</v>
      </c>
      <c r="BF113" s="314" t="s">
        <v>734</v>
      </c>
    </row>
    <row r="114" spans="1:58">
      <c r="A114" s="722" t="str">
        <f>A$51&amp;" - "&amp;VLOOKUP(RIGHT(C114,3),NameConv!$E$3:$F$16,2,FALSE)&amp;" - Existing"</f>
        <v>Commercial - Other - Oil Diesel - Existing</v>
      </c>
      <c r="B114" s="722" t="str">
        <f t="shared" si="89"/>
        <v>CEOODS-E</v>
      </c>
      <c r="C114" s="723" t="str">
        <f>$D$6</f>
        <v>COMODS</v>
      </c>
      <c r="D114" s="723" t="str">
        <f t="shared" ref="D114:D119" si="96">$B$51</f>
        <v>CEO</v>
      </c>
      <c r="E114" s="347">
        <f>Appliances!J47</f>
        <v>0.9</v>
      </c>
      <c r="F114" s="566">
        <f ca="1">SUMIF(AFA!$B$3:$S$3,D114,AFA!$B$4:$J$4)</f>
        <v>0.64739999999999998</v>
      </c>
      <c r="G114" s="348">
        <v>15</v>
      </c>
      <c r="H114" s="349">
        <f t="shared" ref="H114:H119" ca="1" si="97">(N114/F114)*(1+$H$55)</f>
        <v>1.5291936978683969</v>
      </c>
      <c r="I114" s="349">
        <f>SUMIF('Technology costs'!$B$7:$B$28,COM_2017!B114,'Technology costs'!$L$7:$L$28)</f>
        <v>410.88682603593844</v>
      </c>
      <c r="J114" s="349">
        <f t="shared" si="25"/>
        <v>41.088682603593845</v>
      </c>
      <c r="K114" s="705">
        <v>0</v>
      </c>
      <c r="L114" s="350">
        <f>Appliances!F27</f>
        <v>1</v>
      </c>
      <c r="M114" s="349">
        <f t="shared" si="90"/>
        <v>1.1000000000000001</v>
      </c>
      <c r="N114" s="349">
        <f t="shared" si="91"/>
        <v>0.9900000000000001</v>
      </c>
      <c r="P114" s="696"/>
      <c r="Q114" s="694"/>
      <c r="R114" s="694">
        <f t="shared" si="92"/>
        <v>4.9502547141743784E-2</v>
      </c>
      <c r="S114" s="699">
        <f>R114</f>
        <v>4.9502547141743784E-2</v>
      </c>
      <c r="T114" s="699">
        <f t="shared" ref="T114:Y114" si="98">S114</f>
        <v>4.9502547141743784E-2</v>
      </c>
      <c r="U114" s="699">
        <f t="shared" si="98"/>
        <v>4.9502547141743784E-2</v>
      </c>
      <c r="V114" s="699">
        <f t="shared" si="98"/>
        <v>4.9502547141743784E-2</v>
      </c>
      <c r="W114" s="699">
        <f t="shared" si="98"/>
        <v>4.9502547141743784E-2</v>
      </c>
      <c r="X114" s="699">
        <f t="shared" si="98"/>
        <v>4.9502547141743784E-2</v>
      </c>
      <c r="Y114" s="699">
        <f t="shared" si="98"/>
        <v>4.9502547141743784E-2</v>
      </c>
      <c r="AA114" s="696"/>
      <c r="AB114" s="694"/>
      <c r="AC114" s="694">
        <f t="shared" si="93"/>
        <v>4.8531908962493903E-2</v>
      </c>
      <c r="AD114" s="786">
        <v>0</v>
      </c>
      <c r="AE114" s="786">
        <v>0</v>
      </c>
      <c r="AF114" s="694">
        <f t="shared" si="94"/>
        <v>0</v>
      </c>
      <c r="AG114" s="694">
        <f t="shared" si="94"/>
        <v>0</v>
      </c>
      <c r="AH114" s="694">
        <f t="shared" si="94"/>
        <v>0</v>
      </c>
      <c r="AI114" s="694">
        <f t="shared" si="94"/>
        <v>0</v>
      </c>
      <c r="AJ114" s="694">
        <f t="shared" si="95"/>
        <v>0</v>
      </c>
      <c r="AK114" s="705">
        <f t="shared" si="26"/>
        <v>54</v>
      </c>
      <c r="AP114"/>
      <c r="AQ114" s="765" t="s">
        <v>1504</v>
      </c>
      <c r="AR114" t="s">
        <v>1329</v>
      </c>
      <c r="AS114" s="722" t="s">
        <v>1330</v>
      </c>
      <c r="AT114" s="705" t="s">
        <v>647</v>
      </c>
      <c r="AU114" s="705" t="s">
        <v>662</v>
      </c>
      <c r="AV114" s="314" t="s">
        <v>734</v>
      </c>
      <c r="AW114"/>
      <c r="AZ114" s="705" t="s">
        <v>1520</v>
      </c>
      <c r="BB114" s="705" t="str">
        <f t="shared" si="23"/>
        <v>CEO</v>
      </c>
      <c r="BC114" s="705" t="str">
        <f t="shared" si="24"/>
        <v>Commercial - Other - Oil Diesel - Existing</v>
      </c>
      <c r="BD114" s="705" t="s">
        <v>647</v>
      </c>
      <c r="BF114" s="314" t="s">
        <v>734</v>
      </c>
    </row>
    <row r="115" spans="1:58">
      <c r="A115" s="722" t="str">
        <f>A$51&amp;" - "&amp;VLOOKUP(RIGHT(C115,3),NameConv!$E$3:$F$16,2,FALSE)&amp;" - Existing"</f>
        <v>Commercial - Other - Electricity - Existing</v>
      </c>
      <c r="B115" s="722" t="str">
        <f t="shared" si="89"/>
        <v>CEOELC-E</v>
      </c>
      <c r="C115" s="723" t="str">
        <f>$E$6</f>
        <v>COMELC</v>
      </c>
      <c r="D115" s="723" t="str">
        <f t="shared" si="96"/>
        <v>CEO</v>
      </c>
      <c r="E115" s="347">
        <f>Appliances!J45</f>
        <v>0.75</v>
      </c>
      <c r="F115" s="566">
        <f ca="1">SUMIF(AFA!$B$3:$S$3,D115,AFA!$B$4:$J$4)</f>
        <v>0.64739999999999998</v>
      </c>
      <c r="G115" s="348">
        <v>15</v>
      </c>
      <c r="H115" s="349">
        <f t="shared" ca="1" si="97"/>
        <v>25.423170549618511</v>
      </c>
      <c r="I115" s="349">
        <f>SUMIF('Technology costs'!$B$7:$B$28,COM_2017!B115,'Technology costs'!$L$7:$L$28)</f>
        <v>410.88682603593844</v>
      </c>
      <c r="J115" s="349">
        <f t="shared" si="25"/>
        <v>41.088682603593845</v>
      </c>
      <c r="K115" s="705">
        <v>0</v>
      </c>
      <c r="L115" s="350">
        <f>Appliances!F27</f>
        <v>1</v>
      </c>
      <c r="M115" s="349">
        <f t="shared" si="90"/>
        <v>21.9452808184307</v>
      </c>
      <c r="N115" s="349">
        <f t="shared" si="91"/>
        <v>16.458960613823024</v>
      </c>
      <c r="P115" s="696"/>
      <c r="Q115" s="694"/>
      <c r="R115" s="694">
        <f t="shared" si="92"/>
        <v>0.82299037746452364</v>
      </c>
      <c r="S115" s="694">
        <f t="shared" ref="S115:Y115" si="99">MIN(1,$R115+S$52)</f>
        <v>0.85299037746452366</v>
      </c>
      <c r="T115" s="694">
        <f t="shared" si="99"/>
        <v>0.92299037746452361</v>
      </c>
      <c r="U115" s="694">
        <f t="shared" si="99"/>
        <v>1</v>
      </c>
      <c r="V115" s="694">
        <f t="shared" si="99"/>
        <v>1</v>
      </c>
      <c r="W115" s="694">
        <f t="shared" si="99"/>
        <v>1</v>
      </c>
      <c r="X115" s="694">
        <f t="shared" si="99"/>
        <v>1</v>
      </c>
      <c r="Y115" s="694">
        <f t="shared" si="99"/>
        <v>1</v>
      </c>
      <c r="AA115" s="696"/>
      <c r="AB115" s="694"/>
      <c r="AC115" s="694">
        <f t="shared" si="93"/>
        <v>0.80685331123972903</v>
      </c>
      <c r="AD115" s="786">
        <v>0</v>
      </c>
      <c r="AE115" s="786">
        <v>0</v>
      </c>
      <c r="AF115" s="694">
        <f t="shared" si="94"/>
        <v>0</v>
      </c>
      <c r="AG115" s="694">
        <f t="shared" si="94"/>
        <v>0</v>
      </c>
      <c r="AH115" s="694">
        <f t="shared" si="94"/>
        <v>0</v>
      </c>
      <c r="AI115" s="694">
        <f t="shared" si="94"/>
        <v>0</v>
      </c>
      <c r="AJ115" s="694">
        <f t="shared" si="95"/>
        <v>0</v>
      </c>
      <c r="AK115" s="705">
        <f t="shared" si="26"/>
        <v>55</v>
      </c>
      <c r="AP115"/>
      <c r="AQ115" s="765" t="s">
        <v>1504</v>
      </c>
      <c r="AR115" t="s">
        <v>1331</v>
      </c>
      <c r="AS115" s="722" t="s">
        <v>1332</v>
      </c>
      <c r="AT115" s="705" t="s">
        <v>647</v>
      </c>
      <c r="AU115" s="705" t="s">
        <v>662</v>
      </c>
      <c r="AV115" s="314" t="s">
        <v>734</v>
      </c>
      <c r="AW115"/>
      <c r="AZ115" s="705" t="s">
        <v>1520</v>
      </c>
      <c r="BB115" s="705" t="str">
        <f t="shared" si="23"/>
        <v>CEO</v>
      </c>
      <c r="BC115" s="705" t="str">
        <f t="shared" si="24"/>
        <v>Commercial - Other - Electricity - Existing</v>
      </c>
      <c r="BD115" s="705" t="s">
        <v>647</v>
      </c>
      <c r="BF115" s="314" t="s">
        <v>1503</v>
      </c>
    </row>
    <row r="116" spans="1:58">
      <c r="A116" s="722" t="str">
        <f>A$51&amp;" - "&amp;VLOOKUP(RIGHT(C116,3),NameConv!$E$3:$F$16,2,FALSE)&amp;" - Existing"</f>
        <v>Commercial - Other - Gas - Existing</v>
      </c>
      <c r="B116" s="722" t="str">
        <f t="shared" si="89"/>
        <v>CEOGAS-E</v>
      </c>
      <c r="C116" s="723" t="str">
        <f>$F$6</f>
        <v>COMGAS</v>
      </c>
      <c r="D116" s="723" t="str">
        <f t="shared" si="96"/>
        <v>CEO</v>
      </c>
      <c r="E116" s="347">
        <v>1</v>
      </c>
      <c r="F116" s="566">
        <f ca="1">SUMIF(AFA!$B$3:$S$3,D116,AFA!$B$4:$J$4)</f>
        <v>0.64739999999999998</v>
      </c>
      <c r="G116" s="348">
        <v>15</v>
      </c>
      <c r="H116" s="349">
        <f t="shared" ca="1" si="97"/>
        <v>0</v>
      </c>
      <c r="I116" s="349">
        <f>SUMIF('Technology costs'!$B$7:$B$28,COM_2017!B116,'Technology costs'!$L$7:$L$28)</f>
        <v>410.88682603593844</v>
      </c>
      <c r="J116" s="349">
        <f t="shared" si="25"/>
        <v>41.088682603593845</v>
      </c>
      <c r="K116" s="705">
        <v>0</v>
      </c>
      <c r="L116" s="350">
        <f>Appliances!F27</f>
        <v>1</v>
      </c>
      <c r="M116" s="349">
        <f t="shared" si="90"/>
        <v>0</v>
      </c>
      <c r="N116" s="349">
        <f t="shared" si="91"/>
        <v>0</v>
      </c>
      <c r="P116" s="696"/>
      <c r="Q116" s="694"/>
      <c r="R116" s="694">
        <f t="shared" si="92"/>
        <v>0</v>
      </c>
      <c r="S116" s="699">
        <f>R116</f>
        <v>0</v>
      </c>
      <c r="T116" s="699">
        <f t="shared" ref="T116:Y116" si="100">S116</f>
        <v>0</v>
      </c>
      <c r="U116" s="699">
        <f t="shared" si="100"/>
        <v>0</v>
      </c>
      <c r="V116" s="699">
        <f t="shared" si="100"/>
        <v>0</v>
      </c>
      <c r="W116" s="699">
        <f t="shared" si="100"/>
        <v>0</v>
      </c>
      <c r="X116" s="699">
        <f t="shared" si="100"/>
        <v>0</v>
      </c>
      <c r="Y116" s="699">
        <f t="shared" si="100"/>
        <v>0</v>
      </c>
      <c r="AA116" s="696"/>
      <c r="AB116" s="694"/>
      <c r="AC116" s="694">
        <f t="shared" si="93"/>
        <v>0</v>
      </c>
      <c r="AD116" s="786">
        <v>0</v>
      </c>
      <c r="AE116" s="786">
        <v>0</v>
      </c>
      <c r="AF116" s="694">
        <f t="shared" si="94"/>
        <v>0</v>
      </c>
      <c r="AG116" s="694">
        <f t="shared" si="94"/>
        <v>0</v>
      </c>
      <c r="AH116" s="694">
        <f t="shared" si="94"/>
        <v>0</v>
      </c>
      <c r="AI116" s="694">
        <f t="shared" si="94"/>
        <v>0</v>
      </c>
      <c r="AJ116" s="694">
        <f t="shared" si="95"/>
        <v>0</v>
      </c>
      <c r="AK116" s="705">
        <f t="shared" si="26"/>
        <v>56</v>
      </c>
      <c r="AP116"/>
      <c r="AQ116" s="765" t="s">
        <v>1504</v>
      </c>
      <c r="AR116" t="s">
        <v>1333</v>
      </c>
      <c r="AS116" s="722" t="s">
        <v>1334</v>
      </c>
      <c r="AT116" s="705" t="s">
        <v>647</v>
      </c>
      <c r="AU116" s="705" t="s">
        <v>662</v>
      </c>
      <c r="AV116" s="314" t="s">
        <v>734</v>
      </c>
      <c r="AW116"/>
      <c r="AZ116" s="705" t="s">
        <v>1520</v>
      </c>
      <c r="BB116" s="705" t="str">
        <f t="shared" si="23"/>
        <v>CEO</v>
      </c>
      <c r="BC116" s="705" t="str">
        <f t="shared" si="24"/>
        <v>Commercial - Other - Gas - Existing</v>
      </c>
      <c r="BD116" s="705" t="s">
        <v>647</v>
      </c>
      <c r="BF116" s="314" t="s">
        <v>734</v>
      </c>
    </row>
    <row r="117" spans="1:58">
      <c r="A117" s="722" t="str">
        <f>A$51&amp;" - "&amp;VLOOKUP(RIGHT(C117,3),NameConv!$E$3:$F$16,2,FALSE)&amp;" - Existing"</f>
        <v>Commercial - Other - Oil Gasoline - Existing</v>
      </c>
      <c r="B117" s="722" t="str">
        <f t="shared" si="89"/>
        <v>CEOOGS-E</v>
      </c>
      <c r="C117" s="723" t="str">
        <f>$G$6</f>
        <v>COMOGS</v>
      </c>
      <c r="D117" s="723" t="str">
        <f t="shared" si="96"/>
        <v>CEO</v>
      </c>
      <c r="E117" s="347">
        <v>1</v>
      </c>
      <c r="F117" s="566">
        <f ca="1">SUMIF(AFA!$B$3:$S$3,D117,AFA!$B$4:$J$4)</f>
        <v>0.64739999999999998</v>
      </c>
      <c r="G117" s="348">
        <v>15</v>
      </c>
      <c r="H117" s="349">
        <f t="shared" ca="1" si="97"/>
        <v>0</v>
      </c>
      <c r="I117" s="349">
        <f>SUMIF('Technology costs'!$B$7:$B$28,COM_2017!B117,'Technology costs'!$L$7:$L$28)</f>
        <v>410.88682603593844</v>
      </c>
      <c r="J117" s="349">
        <f t="shared" si="25"/>
        <v>41.088682603593845</v>
      </c>
      <c r="K117" s="705">
        <v>0</v>
      </c>
      <c r="L117" s="350">
        <f>Appliances!F27</f>
        <v>1</v>
      </c>
      <c r="M117" s="349">
        <f t="shared" si="90"/>
        <v>0</v>
      </c>
      <c r="N117" s="349">
        <f t="shared" si="91"/>
        <v>0</v>
      </c>
      <c r="P117" s="696"/>
      <c r="Q117" s="694"/>
      <c r="R117" s="694">
        <f t="shared" si="92"/>
        <v>0</v>
      </c>
      <c r="S117" s="699">
        <f t="shared" ref="S117:Y119" si="101">R117</f>
        <v>0</v>
      </c>
      <c r="T117" s="699">
        <f t="shared" si="101"/>
        <v>0</v>
      </c>
      <c r="U117" s="699">
        <f t="shared" si="101"/>
        <v>0</v>
      </c>
      <c r="V117" s="699">
        <f t="shared" si="101"/>
        <v>0</v>
      </c>
      <c r="W117" s="699">
        <f t="shared" si="101"/>
        <v>0</v>
      </c>
      <c r="X117" s="699">
        <f t="shared" si="101"/>
        <v>0</v>
      </c>
      <c r="Y117" s="699">
        <f t="shared" si="101"/>
        <v>0</v>
      </c>
      <c r="AA117" s="696"/>
      <c r="AB117" s="694"/>
      <c r="AC117" s="694">
        <f t="shared" si="93"/>
        <v>0</v>
      </c>
      <c r="AD117" s="786">
        <v>0</v>
      </c>
      <c r="AE117" s="786">
        <v>0</v>
      </c>
      <c r="AF117" s="694">
        <f t="shared" si="94"/>
        <v>0</v>
      </c>
      <c r="AG117" s="694">
        <f t="shared" si="94"/>
        <v>0</v>
      </c>
      <c r="AH117" s="694">
        <f t="shared" si="94"/>
        <v>0</v>
      </c>
      <c r="AI117" s="694">
        <f t="shared" si="94"/>
        <v>0</v>
      </c>
      <c r="AJ117" s="694">
        <f t="shared" si="95"/>
        <v>0</v>
      </c>
      <c r="AK117" s="705">
        <f t="shared" si="26"/>
        <v>57</v>
      </c>
      <c r="AP117"/>
      <c r="AQ117" s="765" t="s">
        <v>1504</v>
      </c>
      <c r="AR117" t="s">
        <v>1335</v>
      </c>
      <c r="AS117" s="722" t="s">
        <v>1336</v>
      </c>
      <c r="AT117" s="705" t="s">
        <v>647</v>
      </c>
      <c r="AU117" s="705" t="s">
        <v>662</v>
      </c>
      <c r="AV117" s="314" t="s">
        <v>734</v>
      </c>
      <c r="AW117"/>
      <c r="AZ117" s="705" t="s">
        <v>1520</v>
      </c>
      <c r="BB117" s="705" t="str">
        <f t="shared" si="23"/>
        <v>CEO</v>
      </c>
      <c r="BC117" s="705" t="str">
        <f t="shared" si="24"/>
        <v>Commercial - Other - Oil Gasoline - Existing</v>
      </c>
      <c r="BD117" s="705" t="s">
        <v>647</v>
      </c>
      <c r="BF117" s="314" t="s">
        <v>734</v>
      </c>
    </row>
    <row r="118" spans="1:58">
      <c r="A118" s="722" t="str">
        <f>A$51&amp;" - "&amp;VLOOKUP(RIGHT(C118,3),NameConv!$E$3:$F$16,2,FALSE)&amp;" - Existing"</f>
        <v>Commercial - Other - Oil HFO - Existing</v>
      </c>
      <c r="B118" s="722" t="str">
        <f t="shared" si="89"/>
        <v>CEOOHF-E</v>
      </c>
      <c r="C118" s="723" t="str">
        <f>$H$6</f>
        <v>COMOHF</v>
      </c>
      <c r="D118" s="723" t="str">
        <f t="shared" si="96"/>
        <v>CEO</v>
      </c>
      <c r="E118" s="347">
        <v>1</v>
      </c>
      <c r="F118" s="566">
        <f ca="1">SUMIF(AFA!$B$3:$S$3,D118,AFA!$B$4:$J$4)</f>
        <v>0.64739999999999998</v>
      </c>
      <c r="G118" s="348">
        <v>15</v>
      </c>
      <c r="H118" s="349">
        <f t="shared" ca="1" si="97"/>
        <v>4.2477602718566576</v>
      </c>
      <c r="I118" s="349">
        <f>SUMIF('Technology costs'!$B$7:$B$28,COM_2017!B118,'Technology costs'!$L$7:$L$28)</f>
        <v>410.88682603593844</v>
      </c>
      <c r="J118" s="349">
        <f t="shared" si="25"/>
        <v>41.088682603593845</v>
      </c>
      <c r="K118" s="705">
        <v>0</v>
      </c>
      <c r="L118" s="350">
        <f>Appliances!F27</f>
        <v>1</v>
      </c>
      <c r="M118" s="349">
        <f t="shared" si="90"/>
        <v>2.75</v>
      </c>
      <c r="N118" s="349">
        <f t="shared" si="91"/>
        <v>2.75</v>
      </c>
      <c r="P118" s="696"/>
      <c r="Q118" s="694"/>
      <c r="R118" s="694">
        <f t="shared" si="92"/>
        <v>0.13750707539373272</v>
      </c>
      <c r="S118" s="699">
        <f t="shared" si="101"/>
        <v>0.13750707539373272</v>
      </c>
      <c r="T118" s="699">
        <f t="shared" si="101"/>
        <v>0.13750707539373272</v>
      </c>
      <c r="U118" s="699">
        <f t="shared" si="101"/>
        <v>0.13750707539373272</v>
      </c>
      <c r="V118" s="699">
        <f t="shared" si="101"/>
        <v>0.13750707539373272</v>
      </c>
      <c r="W118" s="699">
        <f t="shared" si="101"/>
        <v>0.13750707539373272</v>
      </c>
      <c r="X118" s="699">
        <f t="shared" si="101"/>
        <v>0.13750707539373272</v>
      </c>
      <c r="Y118" s="699">
        <f t="shared" si="101"/>
        <v>0.13750707539373272</v>
      </c>
      <c r="AA118" s="696"/>
      <c r="AB118" s="694"/>
      <c r="AC118" s="694">
        <f t="shared" si="93"/>
        <v>0.13481085822914973</v>
      </c>
      <c r="AD118" s="786">
        <v>0</v>
      </c>
      <c r="AE118" s="786">
        <v>0</v>
      </c>
      <c r="AF118" s="694">
        <f t="shared" si="94"/>
        <v>0</v>
      </c>
      <c r="AG118" s="694">
        <f t="shared" si="94"/>
        <v>0</v>
      </c>
      <c r="AH118" s="694">
        <f t="shared" si="94"/>
        <v>0</v>
      </c>
      <c r="AI118" s="694">
        <f t="shared" si="94"/>
        <v>0</v>
      </c>
      <c r="AJ118" s="694">
        <f t="shared" si="95"/>
        <v>0</v>
      </c>
      <c r="AK118" s="705">
        <f t="shared" si="26"/>
        <v>58</v>
      </c>
      <c r="AP118"/>
      <c r="AQ118" s="765" t="s">
        <v>1504</v>
      </c>
      <c r="AR118" t="s">
        <v>1337</v>
      </c>
      <c r="AS118" s="722" t="s">
        <v>1338</v>
      </c>
      <c r="AT118" s="705" t="s">
        <v>647</v>
      </c>
      <c r="AU118" s="705" t="s">
        <v>662</v>
      </c>
      <c r="AV118" s="314" t="s">
        <v>734</v>
      </c>
      <c r="AW118"/>
      <c r="AZ118" s="705" t="s">
        <v>1520</v>
      </c>
      <c r="BB118" s="705" t="str">
        <f t="shared" si="23"/>
        <v>CEO</v>
      </c>
      <c r="BC118" s="705" t="str">
        <f t="shared" si="24"/>
        <v>Commercial - Other - Oil HFO - Existing</v>
      </c>
      <c r="BD118" s="705" t="s">
        <v>647</v>
      </c>
      <c r="BF118" s="314" t="s">
        <v>734</v>
      </c>
    </row>
    <row r="119" spans="1:58">
      <c r="A119" s="722" t="str">
        <f>A$51&amp;" - "&amp;VLOOKUP(RIGHT(C119,3),NameConv!$E$3:$F$16,2,FALSE)&amp;" - Existing"</f>
        <v>Commercial - Other - Oil Paraffin - Existing</v>
      </c>
      <c r="B119" s="722" t="str">
        <f t="shared" si="89"/>
        <v>CEOOKE-E</v>
      </c>
      <c r="C119" s="723" t="str">
        <f>$I$6</f>
        <v>COMOKE</v>
      </c>
      <c r="D119" s="723" t="str">
        <f t="shared" si="96"/>
        <v>CEO</v>
      </c>
      <c r="E119" s="347">
        <v>1</v>
      </c>
      <c r="F119" s="566">
        <f ca="1">SUMIF(AFA!$B$3:$S$3,D119,AFA!$B$4:$J$4)</f>
        <v>0.64739999999999998</v>
      </c>
      <c r="G119" s="348">
        <v>15</v>
      </c>
      <c r="H119" s="349">
        <f t="shared" ca="1" si="97"/>
        <v>0</v>
      </c>
      <c r="I119" s="349">
        <f>SUMIF('Technology costs'!$B$7:$B$29,COM_2017!B119,'Technology costs'!$L$7:$L$29)</f>
        <v>410.88682603593844</v>
      </c>
      <c r="J119" s="349">
        <f>I119*0.1</f>
        <v>41.088682603593845</v>
      </c>
      <c r="K119" s="705">
        <v>0</v>
      </c>
      <c r="L119" s="350">
        <f>Appliances!F33</f>
        <v>1</v>
      </c>
      <c r="M119" s="349">
        <f t="shared" si="90"/>
        <v>0</v>
      </c>
      <c r="N119" s="349">
        <f t="shared" si="91"/>
        <v>0</v>
      </c>
      <c r="P119" s="696"/>
      <c r="Q119" s="694"/>
      <c r="R119" s="694">
        <f t="shared" si="92"/>
        <v>0</v>
      </c>
      <c r="S119" s="699">
        <f t="shared" si="101"/>
        <v>0</v>
      </c>
      <c r="T119" s="699">
        <f t="shared" si="101"/>
        <v>0</v>
      </c>
      <c r="U119" s="699">
        <f t="shared" si="101"/>
        <v>0</v>
      </c>
      <c r="V119" s="699">
        <f t="shared" si="101"/>
        <v>0</v>
      </c>
      <c r="W119" s="699">
        <f t="shared" si="101"/>
        <v>0</v>
      </c>
      <c r="X119" s="699">
        <f t="shared" si="101"/>
        <v>0</v>
      </c>
      <c r="Y119" s="699">
        <f t="shared" si="101"/>
        <v>0</v>
      </c>
      <c r="AA119" s="696"/>
      <c r="AB119" s="694"/>
      <c r="AC119" s="694">
        <f t="shared" si="93"/>
        <v>0</v>
      </c>
      <c r="AD119" s="786">
        <v>0</v>
      </c>
      <c r="AE119" s="786">
        <v>0</v>
      </c>
      <c r="AF119" s="694">
        <f t="shared" si="94"/>
        <v>0</v>
      </c>
      <c r="AG119" s="694">
        <f t="shared" si="94"/>
        <v>0</v>
      </c>
      <c r="AH119" s="694">
        <f t="shared" si="94"/>
        <v>0</v>
      </c>
      <c r="AI119" s="694">
        <f t="shared" si="94"/>
        <v>0</v>
      </c>
      <c r="AJ119" s="694">
        <f t="shared" si="95"/>
        <v>0</v>
      </c>
      <c r="AK119" s="705">
        <f t="shared" si="26"/>
        <v>59</v>
      </c>
      <c r="AP119"/>
      <c r="AQ119" s="765" t="s">
        <v>1504</v>
      </c>
      <c r="AR119" t="s">
        <v>1339</v>
      </c>
      <c r="AS119" s="722" t="s">
        <v>1340</v>
      </c>
      <c r="AT119" s="705" t="s">
        <v>647</v>
      </c>
      <c r="AU119" s="705" t="s">
        <v>662</v>
      </c>
      <c r="AV119" s="314" t="s">
        <v>734</v>
      </c>
      <c r="AW119"/>
      <c r="AZ119" s="705" t="s">
        <v>1520</v>
      </c>
      <c r="BB119" s="705" t="str">
        <f t="shared" si="23"/>
        <v>CEO</v>
      </c>
      <c r="BC119" s="705" t="str">
        <f t="shared" si="24"/>
        <v>Commercial - Other - Oil Paraffin - Existing</v>
      </c>
      <c r="BD119" s="705" t="s">
        <v>647</v>
      </c>
      <c r="BF119" s="314" t="s">
        <v>734</v>
      </c>
    </row>
    <row r="120" spans="1:58">
      <c r="A120" s="742" t="s">
        <v>1538</v>
      </c>
      <c r="L120" s="733"/>
      <c r="M120" s="356">
        <f>SUM(M113:M119)</f>
        <v>25.795280818430701</v>
      </c>
      <c r="N120" s="356">
        <f>SUM(N113:N119)</f>
        <v>20.198960613823022</v>
      </c>
      <c r="AK120" s="705">
        <f t="shared" si="26"/>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6"/>
        <v>61</v>
      </c>
    </row>
    <row r="122" spans="1:58">
      <c r="AP122"/>
      <c r="AQ122"/>
      <c r="AR122"/>
      <c r="AS122"/>
      <c r="AT122" s="314"/>
      <c r="AU122" s="314"/>
      <c r="AV122" s="314"/>
      <c r="AW122"/>
    </row>
    <row r="123" spans="1:58">
      <c r="E123" s="757"/>
      <c r="AP123"/>
      <c r="AQ123"/>
      <c r="AR123"/>
      <c r="AS123"/>
      <c r="AT123" s="314"/>
      <c r="AU123" s="314"/>
      <c r="AV123" s="314"/>
      <c r="AW123"/>
    </row>
    <row r="124" spans="1:58">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c r="A129" s="749"/>
      <c r="B129"/>
      <c r="C129"/>
      <c r="D129"/>
      <c r="E129"/>
      <c r="F129"/>
      <c r="G129"/>
      <c r="H129"/>
      <c r="I129"/>
      <c r="AP129"/>
      <c r="AQ129"/>
      <c r="AR129"/>
      <c r="AS129"/>
      <c r="AT129" s="314"/>
      <c r="AU129" s="314"/>
      <c r="AV129"/>
      <c r="AW129"/>
    </row>
    <row r="130" spans="1:49">
      <c r="A130" s="764"/>
      <c r="B130" s="764"/>
      <c r="C130" s="763"/>
      <c r="D130" s="763"/>
      <c r="E130" s="763"/>
      <c r="F130" s="763"/>
      <c r="G130" s="763"/>
      <c r="H130" s="763"/>
      <c r="I130" s="314"/>
      <c r="AP130"/>
      <c r="AQ130"/>
      <c r="AR130"/>
      <c r="AS130"/>
      <c r="AT130" s="314"/>
      <c r="AU130" s="314"/>
      <c r="AV130" s="314"/>
      <c r="AW130"/>
    </row>
    <row r="131" spans="1:49">
      <c r="A131" s="762"/>
      <c r="B131" s="739"/>
      <c r="C131" s="793"/>
      <c r="D131" s="793"/>
      <c r="E131" s="793"/>
      <c r="F131" s="793"/>
      <c r="G131" s="793"/>
      <c r="H131" s="793"/>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topLeftCell="A40" zoomScale="94" zoomScaleNormal="115" workbookViewId="0">
      <selection activeCell="E19" sqref="E19"/>
    </sheetView>
  </sheetViews>
  <sheetFormatPr defaultColWidth="8.85546875" defaultRowHeight="12.75"/>
  <cols>
    <col min="1" max="1" width="52.7109375" customWidth="1"/>
    <col min="2" max="2" width="29.42578125" customWidth="1"/>
    <col min="3" max="17" width="8.42578125" customWidth="1"/>
    <col min="18" max="37" width="10" customWidth="1"/>
    <col min="38" max="38" width="11.7109375" customWidth="1"/>
    <col min="39" max="42" width="10" customWidth="1"/>
    <col min="45" max="45" width="18.5703125" customWidth="1"/>
    <col min="46" max="46" width="52.140625" customWidth="1"/>
    <col min="56" max="56" width="48.85546875" customWidth="1"/>
  </cols>
  <sheetData>
    <row r="1" spans="1:42" s="307" customFormat="1" ht="15.75">
      <c r="A1" s="490" t="s">
        <v>441</v>
      </c>
      <c r="B1" s="794" t="s">
        <v>638</v>
      </c>
      <c r="C1" s="794"/>
      <c r="D1" s="794"/>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COM_2017!C7</f>
        <v>27.73</v>
      </c>
      <c r="D7" s="316">
        <f>COM_2017!D7</f>
        <v>1.1000000000000001</v>
      </c>
      <c r="E7" s="316">
        <f>COM_2017!E7</f>
        <v>137.7612</v>
      </c>
      <c r="F7" s="316">
        <f>COM_2017!F7</f>
        <v>1.232</v>
      </c>
      <c r="G7" s="316">
        <f>COM_2017!G7</f>
        <v>0</v>
      </c>
      <c r="H7" s="316">
        <f>COM_2017!H7</f>
        <v>2.75</v>
      </c>
      <c r="I7" s="316">
        <f>COM_2017!I7</f>
        <v>5.28</v>
      </c>
      <c r="J7" s="316">
        <f>COM_2017!J7</f>
        <v>2.15</v>
      </c>
      <c r="K7" s="316">
        <f>SUM(C7:J7)</f>
        <v>178.00320000000002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0.15578371624779777</v>
      </c>
      <c r="D8" s="416">
        <f>D7/$K$7</f>
        <v>6.1796641858123894E-3</v>
      </c>
      <c r="E8" s="416">
        <f t="shared" ref="E8:J8" si="2">E7/$K$7</f>
        <v>0.77392541257685243</v>
      </c>
      <c r="F8" s="416">
        <f t="shared" si="2"/>
        <v>6.9212238881098754E-3</v>
      </c>
      <c r="G8" s="416">
        <f t="shared" si="2"/>
        <v>0</v>
      </c>
      <c r="H8" s="416">
        <f t="shared" si="2"/>
        <v>1.5449160464530973E-2</v>
      </c>
      <c r="I8" s="416">
        <f t="shared" si="2"/>
        <v>2.9662388091899469E-2</v>
      </c>
      <c r="J8" s="416">
        <f t="shared" si="2"/>
        <v>1.2078434544996942E-2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186.39561159375924</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30.503000000000007</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155.89261159375923</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c r="A43" s="343" t="str">
        <f t="shared" ref="A43:B51" si="9">A31</f>
        <v>Commercial - Cooling</v>
      </c>
      <c r="B43" s="346" t="str">
        <f t="shared" si="9"/>
        <v>CNC</v>
      </c>
      <c r="C43" s="321">
        <f t="shared" ref="C43:J49" si="10">C31*C$7</f>
        <v>0</v>
      </c>
      <c r="D43" s="321">
        <f t="shared" si="10"/>
        <v>0</v>
      </c>
      <c r="E43" s="321">
        <f>E31*E$7</f>
        <v>45.375519199794304</v>
      </c>
      <c r="F43" s="321">
        <f t="shared" si="10"/>
        <v>0</v>
      </c>
      <c r="G43" s="321">
        <f t="shared" si="10"/>
        <v>0</v>
      </c>
      <c r="H43" s="321">
        <f t="shared" si="10"/>
        <v>0</v>
      </c>
      <c r="I43" s="321">
        <f t="shared" si="10"/>
        <v>0</v>
      </c>
      <c r="J43" s="321">
        <f t="shared" si="10"/>
        <v>0</v>
      </c>
      <c r="K43" s="330">
        <f t="shared" ref="K43:K50" si="11">SUM(C43:J43)</f>
        <v>45.375519199794304</v>
      </c>
      <c r="L43" s="307"/>
      <c r="M43" s="307"/>
      <c r="N43" s="459">
        <f>E43/0.0036</f>
        <v>12604.310888831751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c r="A44" s="343" t="str">
        <f t="shared" si="9"/>
        <v>Commercial - Space Heating</v>
      </c>
      <c r="B44" s="346" t="str">
        <f t="shared" si="9"/>
        <v>CNH</v>
      </c>
      <c r="C44" s="321">
        <f t="shared" si="10"/>
        <v>15.062139135812419</v>
      </c>
      <c r="D44" s="321">
        <f>D32*D$7</f>
        <v>0</v>
      </c>
      <c r="E44" s="321">
        <f>E32*E$7</f>
        <v>2.7103061542120312</v>
      </c>
      <c r="F44" s="321">
        <f t="shared" si="10"/>
        <v>0</v>
      </c>
      <c r="G44" s="321">
        <f t="shared" si="10"/>
        <v>0</v>
      </c>
      <c r="H44" s="321">
        <f t="shared" si="10"/>
        <v>0</v>
      </c>
      <c r="I44" s="321">
        <f t="shared" si="10"/>
        <v>0</v>
      </c>
      <c r="J44" s="321">
        <f t="shared" si="10"/>
        <v>0</v>
      </c>
      <c r="K44" s="330">
        <f t="shared" si="11"/>
        <v>17.77244529002445</v>
      </c>
      <c r="L44" s="307"/>
      <c r="M44" s="307"/>
      <c r="N44" s="307">
        <f t="shared" ref="N44:N51" si="12">E44/0.0036</f>
        <v>752.8628206144532</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0.21722461939319382</v>
      </c>
      <c r="K45" s="330">
        <f t="shared" si="11"/>
        <v>0.41722461939319383</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c r="A46" s="343" t="str">
        <f t="shared" si="9"/>
        <v>Commercial - Lighting</v>
      </c>
      <c r="B46" s="346" t="str">
        <f t="shared" si="9"/>
        <v>CNL</v>
      </c>
      <c r="C46" s="321">
        <f t="shared" si="10"/>
        <v>0</v>
      </c>
      <c r="D46" s="321">
        <f>D34*D$7</f>
        <v>0</v>
      </c>
      <c r="E46" s="321">
        <f t="shared" ref="E46:E51" si="13">E34*E$7</f>
        <v>24.560157495154996</v>
      </c>
      <c r="F46" s="321">
        <f t="shared" si="10"/>
        <v>0</v>
      </c>
      <c r="G46" s="321">
        <f t="shared" si="10"/>
        <v>0</v>
      </c>
      <c r="H46" s="321">
        <f t="shared" si="10"/>
        <v>0</v>
      </c>
      <c r="I46" s="321">
        <f t="shared" si="10"/>
        <v>0</v>
      </c>
      <c r="J46" s="321">
        <f t="shared" si="10"/>
        <v>0</v>
      </c>
      <c r="K46" s="330">
        <f t="shared" si="11"/>
        <v>24.560157495154996</v>
      </c>
      <c r="L46" s="307"/>
      <c r="M46" s="307"/>
      <c r="N46" s="307">
        <f t="shared" si="12"/>
        <v>6822.2659708763877</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c r="A47" s="343" t="str">
        <f t="shared" si="9"/>
        <v>Commercial - Refrigeration</v>
      </c>
      <c r="B47" s="346" t="str">
        <f t="shared" si="9"/>
        <v>CNR</v>
      </c>
      <c r="C47" s="321">
        <f t="shared" si="10"/>
        <v>0</v>
      </c>
      <c r="D47" s="321">
        <f>D35*D$7</f>
        <v>0</v>
      </c>
      <c r="E47" s="321">
        <f t="shared" si="13"/>
        <v>27.184456041138358</v>
      </c>
      <c r="F47" s="321">
        <f t="shared" si="10"/>
        <v>0</v>
      </c>
      <c r="G47" s="321">
        <f t="shared" si="10"/>
        <v>0</v>
      </c>
      <c r="H47" s="321">
        <f t="shared" si="10"/>
        <v>0</v>
      </c>
      <c r="I47" s="321">
        <f t="shared" si="10"/>
        <v>0</v>
      </c>
      <c r="J47" s="321">
        <f t="shared" si="10"/>
        <v>0</v>
      </c>
      <c r="K47" s="330">
        <f t="shared" si="11"/>
        <v>27.184456041138358</v>
      </c>
      <c r="L47" s="307"/>
      <c r="M47" s="307"/>
      <c r="N47" s="307">
        <f t="shared" si="12"/>
        <v>7551.2377892050999</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c r="A48" s="343" t="str">
        <f t="shared" si="9"/>
        <v>Commercial - Water Heating</v>
      </c>
      <c r="B48" s="346" t="str">
        <f t="shared" si="9"/>
        <v>CNW</v>
      </c>
      <c r="C48" s="321">
        <f t="shared" si="10"/>
        <v>12.648070260620566</v>
      </c>
      <c r="D48" s="321">
        <f>D36*D$7</f>
        <v>0</v>
      </c>
      <c r="E48" s="321">
        <f t="shared" si="13"/>
        <v>1.1882423368329196</v>
      </c>
      <c r="F48" s="321">
        <f t="shared" si="10"/>
        <v>0</v>
      </c>
      <c r="G48" s="321">
        <f t="shared" si="10"/>
        <v>0</v>
      </c>
      <c r="H48" s="321">
        <f t="shared" si="10"/>
        <v>0</v>
      </c>
      <c r="I48" s="321">
        <f t="shared" si="10"/>
        <v>0</v>
      </c>
      <c r="J48" s="321">
        <f t="shared" si="10"/>
        <v>1.932775380606806</v>
      </c>
      <c r="K48" s="330">
        <f t="shared" si="11"/>
        <v>15.769087978060291</v>
      </c>
      <c r="L48" s="307"/>
      <c r="M48" s="307"/>
      <c r="N48" s="307">
        <f t="shared" si="12"/>
        <v>330.06731578692211</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c r="A49" s="343" t="str">
        <f t="shared" si="9"/>
        <v>Commercial - Public Lights</v>
      </c>
      <c r="B49" s="346" t="str">
        <f t="shared" si="9"/>
        <v>CNG</v>
      </c>
      <c r="C49" s="321">
        <f t="shared" si="10"/>
        <v>0</v>
      </c>
      <c r="D49" s="321">
        <f t="shared" si="10"/>
        <v>0</v>
      </c>
      <c r="E49" s="321">
        <f>E37*E$7</f>
        <v>2.7719919728870046</v>
      </c>
      <c r="F49" s="321">
        <f t="shared" si="10"/>
        <v>0</v>
      </c>
      <c r="G49" s="321">
        <f t="shared" si="10"/>
        <v>0</v>
      </c>
      <c r="H49" s="321">
        <f t="shared" si="10"/>
        <v>0</v>
      </c>
      <c r="I49" s="321">
        <f t="shared" si="10"/>
        <v>0</v>
      </c>
      <c r="J49" s="321">
        <f t="shared" si="10"/>
        <v>0</v>
      </c>
      <c r="K49" s="330">
        <f t="shared" si="11"/>
        <v>2.7719919728870046</v>
      </c>
      <c r="L49" s="307"/>
      <c r="M49" s="307"/>
      <c r="N49" s="307">
        <f t="shared" si="12"/>
        <v>769.99777024639025</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c r="A50" s="343" t="str">
        <f t="shared" si="9"/>
        <v>Commercial - Public Water</v>
      </c>
      <c r="B50" s="346" t="str">
        <f t="shared" si="9"/>
        <v>CNT</v>
      </c>
      <c r="C50" s="321"/>
      <c r="D50" s="321"/>
      <c r="E50" s="321">
        <f t="shared" si="13"/>
        <v>3.2726019758762139</v>
      </c>
      <c r="F50" s="321"/>
      <c r="G50" s="321"/>
      <c r="H50" s="321"/>
      <c r="I50" s="321"/>
      <c r="J50" s="321"/>
      <c r="K50" s="330">
        <f t="shared" si="11"/>
        <v>3.2726019758762139</v>
      </c>
      <c r="L50" s="307"/>
      <c r="M50" s="307"/>
      <c r="N50" s="307">
        <f t="shared" si="12"/>
        <v>909.05610441005945</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c r="A51" s="343" t="str">
        <f t="shared" si="9"/>
        <v>Commercial - Other</v>
      </c>
      <c r="B51" s="346" t="str">
        <f t="shared" si="9"/>
        <v>CNO</v>
      </c>
      <c r="C51" s="321">
        <f>C39*C$7</f>
        <v>1.9790603567018086E-2</v>
      </c>
      <c r="D51" s="321">
        <f>D39*D$7</f>
        <v>1.1000000000000001</v>
      </c>
      <c r="E51" s="321">
        <f t="shared" si="13"/>
        <v>21.945280818430714</v>
      </c>
      <c r="F51" s="321">
        <f>F39*F$7</f>
        <v>1.232</v>
      </c>
      <c r="G51" s="321">
        <f>G39*G$7</f>
        <v>0</v>
      </c>
      <c r="H51" s="321">
        <f>H39*H$7</f>
        <v>2.75</v>
      </c>
      <c r="I51" s="321">
        <f>I39*I$7</f>
        <v>5.28</v>
      </c>
      <c r="J51" s="321">
        <f>J39*J$7</f>
        <v>0</v>
      </c>
      <c r="K51" s="330">
        <f>SUM(C51:J51)</f>
        <v>32.327071421997729</v>
      </c>
      <c r="L51" s="307"/>
      <c r="M51" s="307"/>
      <c r="N51" s="307">
        <f t="shared" si="12"/>
        <v>6095.9113384529765</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5">
      <c r="A52" s="331" t="str">
        <f>A40</f>
        <v>Total</v>
      </c>
      <c r="B52" s="343"/>
      <c r="C52" s="330">
        <f t="shared" ref="C52:K52" si="14">SUM(C43:C51)</f>
        <v>27.730000000000004</v>
      </c>
      <c r="D52" s="330">
        <f t="shared" si="14"/>
        <v>1.1000000000000001</v>
      </c>
      <c r="E52" s="330">
        <f t="shared" si="14"/>
        <v>129.20855599432656</v>
      </c>
      <c r="F52" s="330">
        <f t="shared" si="14"/>
        <v>1.232</v>
      </c>
      <c r="G52" s="330">
        <f t="shared" si="14"/>
        <v>0</v>
      </c>
      <c r="H52" s="330">
        <f t="shared" si="14"/>
        <v>2.75</v>
      </c>
      <c r="I52" s="330">
        <f t="shared" si="14"/>
        <v>5.28</v>
      </c>
      <c r="J52" s="330">
        <f t="shared" si="14"/>
        <v>2.15</v>
      </c>
      <c r="K52" s="330">
        <f t="shared" si="14"/>
        <v>169.45055599432658</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8.25">
      <c r="A56" s="335" t="s">
        <v>676</v>
      </c>
      <c r="B56" s="335" t="s">
        <v>677</v>
      </c>
      <c r="C56" s="335" t="s">
        <v>678</v>
      </c>
      <c r="D56" s="335" t="s">
        <v>679</v>
      </c>
      <c r="E56" s="732" t="s">
        <v>731</v>
      </c>
      <c r="F56" s="732" t="s">
        <v>1551</v>
      </c>
      <c r="G56" s="732" t="s">
        <v>741</v>
      </c>
      <c r="H56" s="732" t="s">
        <v>1673</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5.25"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5">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5"/>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5">
      <c r="A67" s="352" t="s">
        <v>1555</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7"/>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c r="Q69" s="411"/>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c r="AB69" s="411"/>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5"/>
        <v>3.1420618543499241</v>
      </c>
      <c r="L70" s="350">
        <v>0</v>
      </c>
      <c r="M70" s="349">
        <f>L70*SUMIF($C$6:$J$6,C70,$C$44:$J$44)</f>
        <v>0</v>
      </c>
      <c r="N70" s="349">
        <f>M70*E70</f>
        <v>0</v>
      </c>
      <c r="P70" s="493"/>
      <c r="Q70" s="411"/>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c r="AB70" s="411"/>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c r="Q71" s="411"/>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c r="AB71" s="411"/>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0</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c r="AB72" s="411"/>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5">
        <f>34.864360018767*Deflator!AD7</f>
        <v>49.003487536247462</v>
      </c>
      <c r="J73" s="486">
        <f>I73*0.1</f>
        <v>4.9003487536247468</v>
      </c>
      <c r="L73" s="350">
        <v>0</v>
      </c>
      <c r="M73" s="349">
        <v>0</v>
      </c>
      <c r="N73" s="349">
        <v>0</v>
      </c>
      <c r="P73" s="493"/>
      <c r="Q73" s="411"/>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c r="AB73" s="411"/>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5">
      <c r="A74" s="352" t="s">
        <v>1555</v>
      </c>
      <c r="F74" s="382"/>
      <c r="I74" s="349"/>
      <c r="J74" s="349"/>
      <c r="L74" s="359"/>
      <c r="M74" s="356">
        <f>SUM(M69:M70)</f>
        <v>0</v>
      </c>
      <c r="N74" s="356">
        <f>SUM(N69:N70)</f>
        <v>0</v>
      </c>
      <c r="P74" s="479"/>
      <c r="AK74" s="314">
        <f t="shared" si="27"/>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5"/>
        <v>17.662153776607365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0</v>
      </c>
      <c r="AO76" s="389">
        <f>AN76</f>
        <v>0</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c r="Q78" s="411"/>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0</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784">
        <f>2.52021843691898*Deflator!AD7</f>
        <v>3.5422848059078738</v>
      </c>
      <c r="J81" s="349">
        <f t="shared" si="25"/>
        <v>0.35422848059078738</v>
      </c>
      <c r="K81" s="479"/>
      <c r="L81" s="350">
        <v>0</v>
      </c>
      <c r="M81" s="349">
        <f>L81*SUMIF($C$6:$J$6,C81,$C$46:$J$46)</f>
        <v>0</v>
      </c>
      <c r="N81" s="349">
        <f>M81*E81</f>
        <v>0</v>
      </c>
      <c r="P81" s="479"/>
      <c r="Q81" s="411"/>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c r="AB81" s="411"/>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c r="Q82" s="411"/>
      <c r="R82" s="411">
        <f>COM_2012!P82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c r="AB82" s="411"/>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0</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costs'!I14)*COM_2012!I81</f>
        <v>0.75829581287827852</v>
      </c>
      <c r="J83" s="349">
        <f t="shared" si="25"/>
        <v>7.5829581287827852E-2</v>
      </c>
      <c r="K83" s="479"/>
      <c r="L83" s="350">
        <v>0</v>
      </c>
      <c r="M83" s="349">
        <f t="shared" ref="M83:M86" si="47">L83*SUMIF($C$6:$J$6,C83,$C$46:$J$46)</f>
        <v>0</v>
      </c>
      <c r="N83" s="349">
        <f t="shared" si="46"/>
        <v>0</v>
      </c>
      <c r="P83" s="479"/>
      <c r="Q83" s="411"/>
      <c r="R83" s="411">
        <f>COM_2012!P83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c r="AB83" s="411"/>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0</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costs'!I14)*COM_2012!I81</f>
        <v>0.30666374785518619</v>
      </c>
      <c r="J84" s="349">
        <f t="shared" si="25"/>
        <v>3.0666374785518619E-2</v>
      </c>
      <c r="K84" s="479"/>
      <c r="L84" s="350">
        <v>0</v>
      </c>
      <c r="M84" s="349">
        <f t="shared" si="47"/>
        <v>0</v>
      </c>
      <c r="N84" s="349">
        <f t="shared" si="46"/>
        <v>0</v>
      </c>
      <c r="P84" s="479"/>
      <c r="Q84" s="411"/>
      <c r="R84" s="411">
        <f>COM_2012!P84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c r="AB84" s="411"/>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0</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784">
        <f>0.267295894824741*Deflator!AD7</f>
        <v>0.37569687335386637</v>
      </c>
      <c r="J85" s="349">
        <f t="shared" si="25"/>
        <v>3.756968733538664E-2</v>
      </c>
      <c r="K85" s="479"/>
      <c r="L85" s="350">
        <v>0</v>
      </c>
      <c r="M85" s="349">
        <f t="shared" si="47"/>
        <v>0</v>
      </c>
      <c r="N85" s="349">
        <f t="shared" si="46"/>
        <v>0</v>
      </c>
      <c r="P85" s="479"/>
      <c r="Q85" s="411"/>
      <c r="R85" s="411">
        <f>COM_2012!P85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c r="AB85" s="411"/>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0</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784">
        <f>4.92588149034165*Deflator!AD7</f>
        <v>6.9235566660926731</v>
      </c>
      <c r="J86" s="349">
        <f t="shared" si="25"/>
        <v>0.6923556666092674</v>
      </c>
      <c r="K86" s="479"/>
      <c r="L86" s="350">
        <v>0</v>
      </c>
      <c r="M86" s="349">
        <f t="shared" si="47"/>
        <v>0</v>
      </c>
      <c r="N86" s="349">
        <f t="shared" si="46"/>
        <v>0</v>
      </c>
      <c r="P86" s="479"/>
      <c r="Q86" s="411"/>
      <c r="R86" s="411">
        <f>COM_2012!P86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c r="AB86" s="411"/>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5"/>
        <v>173.42705050470357</v>
      </c>
      <c r="L89" s="350">
        <v>0</v>
      </c>
      <c r="M89" s="349">
        <f>L89*SUMIF($C$6:$J$6,C89,$C$47:$J$47)</f>
        <v>0</v>
      </c>
      <c r="N89" s="349">
        <f>M89*E89</f>
        <v>0</v>
      </c>
      <c r="P89" s="479"/>
      <c r="Q89" s="411"/>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c r="AB89" s="411"/>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0</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c r="Q90" s="411"/>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c r="AB90" s="411"/>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5">
      <c r="A91" s="352" t="s">
        <v>1555</v>
      </c>
      <c r="F91" s="382"/>
      <c r="H91" s="349"/>
      <c r="I91" s="349"/>
      <c r="J91" s="349"/>
      <c r="L91" s="359">
        <f>SUM(L89)</f>
        <v>0</v>
      </c>
      <c r="M91" s="356">
        <f>SUM(M89)</f>
        <v>0</v>
      </c>
      <c r="N91" s="356">
        <f>SUM(N89)</f>
        <v>0</v>
      </c>
      <c r="P91" s="479"/>
      <c r="AK91" s="314">
        <f t="shared" si="27"/>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5"/>
        <v>3.1581453839889382</v>
      </c>
      <c r="L93" s="350">
        <v>0</v>
      </c>
      <c r="M93" s="349">
        <f>L93*SUMIF($C$6:$J$6,C93,$C$48:$J$48)</f>
        <v>0</v>
      </c>
      <c r="N93" s="349">
        <f>M93*E93</f>
        <v>0</v>
      </c>
      <c r="P93" s="479"/>
      <c r="Q93" s="411"/>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c r="AB93" s="411"/>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5"/>
        <v>21.194584531928836</v>
      </c>
      <c r="L94" s="350">
        <v>0</v>
      </c>
      <c r="M94" s="349">
        <f>L94*SUMIF($C$6:$J$6,C94,$C$48:$J$48)</f>
        <v>0</v>
      </c>
      <c r="N94" s="349">
        <f>M94*E94</f>
        <v>0</v>
      </c>
      <c r="P94" s="479"/>
      <c r="Q94" s="411"/>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c r="AB94" s="411"/>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5"/>
        <v>2.4826371391503539</v>
      </c>
      <c r="L95" s="350">
        <v>0</v>
      </c>
      <c r="M95" s="349">
        <f>L95*SUMIF($C$6:$J$6,C95,$C$48:$J$48)</f>
        <v>0</v>
      </c>
      <c r="N95" s="349">
        <f>M95*E95</f>
        <v>0</v>
      </c>
      <c r="P95" s="479"/>
      <c r="Q95" s="411"/>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c r="AB95" s="411"/>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c r="Q96" s="411"/>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c r="AB96" s="411"/>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0</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c r="Q97" s="411"/>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c r="AB97" s="411"/>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c r="AB98" s="411"/>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c r="AB99" s="411"/>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5">
      <c r="A100" s="352" t="s">
        <v>1555</v>
      </c>
      <c r="F100" s="382"/>
      <c r="H100" s="349"/>
      <c r="I100" s="349"/>
      <c r="J100" s="349"/>
      <c r="L100" s="359"/>
      <c r="M100" s="356">
        <f>SUM(M93:M95)</f>
        <v>0</v>
      </c>
      <c r="N100" s="356">
        <f>SUM(N93:N95)</f>
        <v>0</v>
      </c>
      <c r="P100" s="479"/>
      <c r="AK100" s="314">
        <f t="shared" si="27"/>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c r="Q102" s="411"/>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c r="AB102" s="411"/>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0.75829581287827852</v>
      </c>
      <c r="J103" s="572">
        <f t="shared" si="69"/>
        <v>7.5829581287827852E-2</v>
      </c>
      <c r="L103" s="455">
        <v>0</v>
      </c>
      <c r="M103" s="349">
        <f t="shared" si="70"/>
        <v>0</v>
      </c>
      <c r="N103" s="349">
        <f t="shared" si="71"/>
        <v>0</v>
      </c>
      <c r="P103" s="479"/>
      <c r="Q103" s="411"/>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c r="AB103" s="411"/>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0.75829581287827852</v>
      </c>
      <c r="J104" s="572">
        <f t="shared" si="69"/>
        <v>7.5829581287827852E-2</v>
      </c>
      <c r="L104" s="455">
        <v>0</v>
      </c>
      <c r="M104" s="349">
        <f t="shared" si="70"/>
        <v>0</v>
      </c>
      <c r="N104" s="349">
        <f t="shared" si="71"/>
        <v>0</v>
      </c>
      <c r="P104" s="479"/>
      <c r="Q104" s="411"/>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c r="AB104" s="411"/>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0.75829581287827852</v>
      </c>
      <c r="J105" s="572">
        <f t="shared" si="69"/>
        <v>7.5829581287827852E-2</v>
      </c>
      <c r="L105" s="455">
        <v>0</v>
      </c>
      <c r="M105" s="349">
        <f t="shared" si="70"/>
        <v>0</v>
      </c>
      <c r="N105" s="349">
        <f t="shared" si="71"/>
        <v>0</v>
      </c>
      <c r="P105" s="479"/>
      <c r="Q105" s="411"/>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c r="AB105" s="411"/>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0.30666374785518619</v>
      </c>
      <c r="J106" s="572">
        <f t="shared" si="69"/>
        <v>3.0666374785518619E-2</v>
      </c>
      <c r="L106" s="455">
        <v>0</v>
      </c>
      <c r="M106" s="349">
        <f t="shared" si="70"/>
        <v>0</v>
      </c>
      <c r="N106" s="349">
        <f t="shared" si="71"/>
        <v>0</v>
      </c>
      <c r="P106" s="479"/>
      <c r="Q106" s="411"/>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c r="AB106" s="411"/>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c r="Q107" s="411"/>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c r="AB107" s="411"/>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c r="AB110" s="411"/>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costs'!$B$7:$B$28,COM_2012!B113,'Technology costs'!$L$7:$L$28)</f>
        <v>410.88682603593844</v>
      </c>
      <c r="J113" s="349">
        <f t="shared" si="25"/>
        <v>41.088682603593845</v>
      </c>
      <c r="L113" s="350">
        <v>0</v>
      </c>
      <c r="M113" s="349">
        <f t="shared" ref="M113:M119" si="81">L113*SUMIF($C$6:$J$6,C113,$C$51:$J$51)</f>
        <v>0</v>
      </c>
      <c r="N113" s="349">
        <f t="shared" ref="N113:N119" si="82">M113*E113</f>
        <v>0</v>
      </c>
      <c r="P113" s="479"/>
      <c r="Q113" s="411"/>
      <c r="R113" s="411">
        <f>' COM_2017_old'!R113</f>
        <v>0</v>
      </c>
      <c r="S113" s="411">
        <f>R113</f>
        <v>0</v>
      </c>
      <c r="T113" s="411">
        <f>S113</f>
        <v>0</v>
      </c>
      <c r="U113" s="411">
        <f>T113</f>
        <v>0</v>
      </c>
      <c r="V113" s="411">
        <f t="shared" ref="V113" si="83">U113</f>
        <v>0</v>
      </c>
      <c r="W113" s="411">
        <f t="shared" ref="W113" si="84">V113</f>
        <v>0</v>
      </c>
      <c r="X113" s="411">
        <f t="shared" ref="X113" si="85">W113</f>
        <v>0</v>
      </c>
      <c r="Y113" s="411">
        <f t="shared" ref="Y113" si="86">X113</f>
        <v>0</v>
      </c>
      <c r="AA113" s="410"/>
      <c r="AB113" s="411"/>
      <c r="AC113" s="410">
        <f t="shared" ref="AC113:AC119" si="87">R113/(1+$P$54+$AA$54)</f>
        <v>0</v>
      </c>
      <c r="AD113" s="411">
        <f t="shared" ref="AD113:AJ119" si="88">$AC113*AD$52</f>
        <v>0</v>
      </c>
      <c r="AE113" s="411">
        <f t="shared" si="88"/>
        <v>0</v>
      </c>
      <c r="AF113" s="411">
        <f t="shared" si="88"/>
        <v>0</v>
      </c>
      <c r="AG113" s="411">
        <f t="shared" si="88"/>
        <v>0</v>
      </c>
      <c r="AH113" s="411">
        <f t="shared" si="88"/>
        <v>0</v>
      </c>
      <c r="AI113" s="411">
        <f t="shared" si="88"/>
        <v>0</v>
      </c>
      <c r="AJ113" s="411">
        <f t="shared" si="88"/>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5">
      <c r="A114" s="343" t="str">
        <f>A$51&amp;" - "&amp;VLOOKUP(RIGHT(C114,3),NameConv!$E$3:$F$16,2,FALSE)&amp;" - Existing"</f>
        <v>Commercial - Other - Oil Diesel - Existing</v>
      </c>
      <c r="B114" s="343" t="str">
        <f t="shared" si="79"/>
        <v>CNOODS-E</v>
      </c>
      <c r="C114" s="346" t="str">
        <f>$D$6</f>
        <v>COMODS</v>
      </c>
      <c r="D114" s="346" t="str">
        <f t="shared" ref="D114:D119" si="89">$B$51</f>
        <v>CNO</v>
      </c>
      <c r="E114" s="347">
        <f>Appliances!G47</f>
        <v>0.9</v>
      </c>
      <c r="F114" s="382">
        <f>SUMIF(AFA!$B$2:$J$2,D114,AFA!$B$4:$J$4)</f>
        <v>0.64739999999999998</v>
      </c>
      <c r="G114" s="348">
        <v>15</v>
      </c>
      <c r="H114" s="349">
        <f t="shared" si="80"/>
        <v>0</v>
      </c>
      <c r="I114" s="349">
        <f>SUMIF('Technology costs'!$B$7:$B$28,COM_2012!B114,'Technology costs'!$L$7:$L$28)</f>
        <v>410.88682603593844</v>
      </c>
      <c r="J114" s="349">
        <f t="shared" si="25"/>
        <v>41.088682603593845</v>
      </c>
      <c r="L114" s="350">
        <v>0</v>
      </c>
      <c r="M114" s="349">
        <f t="shared" si="81"/>
        <v>0</v>
      </c>
      <c r="N114" s="349">
        <f t="shared" si="82"/>
        <v>0</v>
      </c>
      <c r="P114" s="479"/>
      <c r="Q114" s="411"/>
      <c r="R114" s="411">
        <f>' COM_2017_old'!R114</f>
        <v>8.0155986977309329E-2</v>
      </c>
      <c r="S114" s="411">
        <f t="shared" ref="S114:Y118" si="90">MIN(1,$R114+S$52)</f>
        <v>0.11015598697730933</v>
      </c>
      <c r="T114" s="411">
        <f t="shared" si="90"/>
        <v>0.18015598697730933</v>
      </c>
      <c r="U114" s="411">
        <f t="shared" si="90"/>
        <v>0.38015598697730935</v>
      </c>
      <c r="V114" s="411">
        <f t="shared" si="90"/>
        <v>0.5801559869773093</v>
      </c>
      <c r="W114" s="411">
        <f t="shared" si="90"/>
        <v>0.78015598697730926</v>
      </c>
      <c r="X114" s="411">
        <f t="shared" si="90"/>
        <v>0.98015598697730932</v>
      </c>
      <c r="Y114" s="411">
        <f t="shared" si="90"/>
        <v>1</v>
      </c>
      <c r="AA114" s="410"/>
      <c r="AB114" s="411"/>
      <c r="AC114" s="410">
        <f t="shared" si="87"/>
        <v>7.7073064401258967E-2</v>
      </c>
      <c r="AD114" s="411">
        <f t="shared" si="88"/>
        <v>7.4760872469221196E-2</v>
      </c>
      <c r="AE114" s="411">
        <f t="shared" si="88"/>
        <v>6.9365757961133076E-2</v>
      </c>
      <c r="AF114" s="411">
        <f t="shared" si="88"/>
        <v>5.3951145080881273E-2</v>
      </c>
      <c r="AG114" s="411">
        <f t="shared" si="88"/>
        <v>3.8536532200629484E-2</v>
      </c>
      <c r="AH114" s="411">
        <f t="shared" si="88"/>
        <v>2.3121919320377691E-2</v>
      </c>
      <c r="AI114" s="411">
        <f t="shared" si="88"/>
        <v>7.7073064401258972E-3</v>
      </c>
      <c r="AJ114" s="411">
        <f t="shared" si="88"/>
        <v>0</v>
      </c>
      <c r="AK114" s="314">
        <f t="shared" si="27"/>
        <v>54</v>
      </c>
      <c r="AN114" s="389">
        <f t="shared" si="23"/>
        <v>0</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5">
      <c r="A115" s="343" t="str">
        <f>A$51&amp;" - "&amp;VLOOKUP(RIGHT(C115,3),NameConv!$E$3:$F$16,2,FALSE)&amp;" - Existing"</f>
        <v>Commercial - Other - Electricity - Existing</v>
      </c>
      <c r="B115" s="343" t="str">
        <f t="shared" si="79"/>
        <v>CNOELC-E</v>
      </c>
      <c r="C115" s="346" t="str">
        <f>$E$6</f>
        <v>COMELC</v>
      </c>
      <c r="D115" s="346" t="str">
        <f t="shared" si="89"/>
        <v>CNO</v>
      </c>
      <c r="E115" s="347">
        <f>Appliances!G45</f>
        <v>0.75</v>
      </c>
      <c r="F115" s="382">
        <f>SUMIF(AFA!$B$2:$J$2,D115,AFA!$B$4:$J$4)</f>
        <v>0.64739999999999998</v>
      </c>
      <c r="G115" s="348">
        <v>15</v>
      </c>
      <c r="H115" s="349">
        <f t="shared" si="80"/>
        <v>0</v>
      </c>
      <c r="I115" s="349">
        <f>SUMIF('Technology costs'!$B$7:$B$28,COM_2012!B115,'Technology costs'!$L$7:$L$28)</f>
        <v>410.88682603593844</v>
      </c>
      <c r="J115" s="349">
        <f t="shared" si="25"/>
        <v>41.088682603593845</v>
      </c>
      <c r="L115" s="350">
        <v>0</v>
      </c>
      <c r="M115" s="349">
        <f t="shared" si="81"/>
        <v>0</v>
      </c>
      <c r="N115" s="349">
        <f t="shared" si="82"/>
        <v>0</v>
      </c>
      <c r="P115" s="479"/>
      <c r="Q115" s="411"/>
      <c r="R115" s="411">
        <f>' COM_2017_old'!R115</f>
        <v>0.91599197105171759</v>
      </c>
      <c r="S115" s="411">
        <f t="shared" si="90"/>
        <v>0.94599197105171762</v>
      </c>
      <c r="T115" s="411">
        <f t="shared" si="90"/>
        <v>1</v>
      </c>
      <c r="U115" s="411">
        <f t="shared" si="90"/>
        <v>1</v>
      </c>
      <c r="V115" s="411">
        <f t="shared" si="90"/>
        <v>1</v>
      </c>
      <c r="W115" s="411">
        <f t="shared" si="90"/>
        <v>1</v>
      </c>
      <c r="X115" s="411">
        <f t="shared" si="90"/>
        <v>1</v>
      </c>
      <c r="Y115" s="411">
        <f t="shared" si="90"/>
        <v>1</v>
      </c>
      <c r="AA115" s="410"/>
      <c r="AB115" s="411"/>
      <c r="AC115" s="410">
        <f t="shared" si="87"/>
        <v>0.88076151062665153</v>
      </c>
      <c r="AD115" s="411">
        <f t="shared" si="88"/>
        <v>0.85433866530785196</v>
      </c>
      <c r="AE115" s="411">
        <f t="shared" si="88"/>
        <v>0.79268535956398645</v>
      </c>
      <c r="AF115" s="411">
        <f t="shared" si="88"/>
        <v>0.61653305743865605</v>
      </c>
      <c r="AG115" s="411">
        <f t="shared" si="88"/>
        <v>0.44038075531332577</v>
      </c>
      <c r="AH115" s="411">
        <f t="shared" si="88"/>
        <v>0.26422845318799543</v>
      </c>
      <c r="AI115" s="411">
        <f t="shared" si="88"/>
        <v>8.8076151062665156E-2</v>
      </c>
      <c r="AJ115" s="411">
        <f t="shared" si="88"/>
        <v>0</v>
      </c>
      <c r="AK115" s="314">
        <f t="shared" si="27"/>
        <v>55</v>
      </c>
      <c r="AN115" s="389">
        <f t="shared" si="23"/>
        <v>0</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5">
      <c r="A116" s="343" t="str">
        <f>A$51&amp;" - "&amp;VLOOKUP(RIGHT(C116,3),NameConv!$E$3:$F$16,2,FALSE)&amp;" - Existing"</f>
        <v>Commercial - Other - Gas - Existing</v>
      </c>
      <c r="B116" s="343" t="str">
        <f t="shared" si="79"/>
        <v>CNOGAS-E</v>
      </c>
      <c r="C116" s="346" t="str">
        <f>$F$6</f>
        <v>COMGAS</v>
      </c>
      <c r="D116" s="346" t="str">
        <f t="shared" si="89"/>
        <v>CNO</v>
      </c>
      <c r="E116" s="347">
        <v>1</v>
      </c>
      <c r="F116" s="382">
        <f>SUMIF(AFA!$B$2:$J$2,D116,AFA!$B$4:$J$4)</f>
        <v>0.64739999999999998</v>
      </c>
      <c r="G116" s="348">
        <v>15</v>
      </c>
      <c r="H116" s="349">
        <f t="shared" si="80"/>
        <v>0</v>
      </c>
      <c r="I116" s="349">
        <f>SUMIF('Technology costs'!$B$7:$B$28,COM_2012!B116,'Technology costs'!$L$7:$L$28)</f>
        <v>410.88682603593844</v>
      </c>
      <c r="J116" s="349">
        <f t="shared" si="25"/>
        <v>41.088682603593845</v>
      </c>
      <c r="L116" s="350">
        <v>0</v>
      </c>
      <c r="M116" s="349">
        <f t="shared" si="81"/>
        <v>0</v>
      </c>
      <c r="N116" s="349">
        <f t="shared" si="82"/>
        <v>0</v>
      </c>
      <c r="P116" s="479"/>
      <c r="Q116" s="411"/>
      <c r="R116" s="411">
        <f>' COM_2017_old'!R116</f>
        <v>0</v>
      </c>
      <c r="S116" s="411">
        <f t="shared" si="90"/>
        <v>0.03</v>
      </c>
      <c r="T116" s="411">
        <f t="shared" si="90"/>
        <v>0.1</v>
      </c>
      <c r="U116" s="411">
        <f t="shared" si="90"/>
        <v>0.3</v>
      </c>
      <c r="V116" s="411">
        <f t="shared" si="90"/>
        <v>0.5</v>
      </c>
      <c r="W116" s="411">
        <f t="shared" si="90"/>
        <v>0.7</v>
      </c>
      <c r="X116" s="411">
        <f t="shared" si="90"/>
        <v>0.9</v>
      </c>
      <c r="Y116" s="411">
        <f t="shared" si="90"/>
        <v>1</v>
      </c>
      <c r="AA116" s="410"/>
      <c r="AB116" s="411"/>
      <c r="AC116" s="410">
        <f t="shared" si="87"/>
        <v>0</v>
      </c>
      <c r="AD116" s="411">
        <f t="shared" si="88"/>
        <v>0</v>
      </c>
      <c r="AE116" s="411">
        <f t="shared" si="88"/>
        <v>0</v>
      </c>
      <c r="AF116" s="411">
        <f t="shared" si="88"/>
        <v>0</v>
      </c>
      <c r="AG116" s="411">
        <f t="shared" si="88"/>
        <v>0</v>
      </c>
      <c r="AH116" s="411">
        <f t="shared" si="88"/>
        <v>0</v>
      </c>
      <c r="AI116" s="411">
        <f t="shared" si="88"/>
        <v>0</v>
      </c>
      <c r="AJ116" s="411">
        <f t="shared" si="88"/>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5">
      <c r="A117" s="343" t="str">
        <f>A$51&amp;" - "&amp;VLOOKUP(RIGHT(C117,3),NameConv!$E$3:$F$16,2,FALSE)&amp;" - Existing"</f>
        <v>Commercial - Other - Oil Gasoline - Existing</v>
      </c>
      <c r="B117" s="343" t="str">
        <f t="shared" si="79"/>
        <v>CNOOGS-E</v>
      </c>
      <c r="C117" s="346" t="str">
        <f>$G$6</f>
        <v>COMOGS</v>
      </c>
      <c r="D117" s="346" t="str">
        <f t="shared" si="89"/>
        <v>CNO</v>
      </c>
      <c r="E117" s="347">
        <v>1</v>
      </c>
      <c r="F117" s="382">
        <f>SUMIF(AFA!$B$2:$J$2,D117,AFA!$B$4:$J$4)</f>
        <v>0.64739999999999998</v>
      </c>
      <c r="G117" s="348">
        <v>15</v>
      </c>
      <c r="H117" s="349">
        <f t="shared" si="80"/>
        <v>0</v>
      </c>
      <c r="I117" s="349">
        <f>SUMIF('Technology costs'!$B$7:$B$28,COM_2012!B117,'Technology costs'!$L$7:$L$28)</f>
        <v>410.88682603593844</v>
      </c>
      <c r="J117" s="349">
        <f t="shared" si="25"/>
        <v>41.088682603593845</v>
      </c>
      <c r="L117" s="350">
        <v>0</v>
      </c>
      <c r="M117" s="349">
        <f t="shared" si="81"/>
        <v>0</v>
      </c>
      <c r="N117" s="349">
        <f t="shared" si="82"/>
        <v>0</v>
      </c>
      <c r="P117" s="479"/>
      <c r="Q117" s="411"/>
      <c r="R117" s="411">
        <f>' COM_2017_old'!R117</f>
        <v>0</v>
      </c>
      <c r="S117" s="411">
        <f t="shared" si="90"/>
        <v>0.03</v>
      </c>
      <c r="T117" s="411">
        <f t="shared" si="90"/>
        <v>0.1</v>
      </c>
      <c r="U117" s="411">
        <f t="shared" si="90"/>
        <v>0.3</v>
      </c>
      <c r="V117" s="411">
        <f t="shared" si="90"/>
        <v>0.5</v>
      </c>
      <c r="W117" s="411">
        <f t="shared" si="90"/>
        <v>0.7</v>
      </c>
      <c r="X117" s="411">
        <f t="shared" si="90"/>
        <v>0.9</v>
      </c>
      <c r="Y117" s="411">
        <f t="shared" si="90"/>
        <v>1</v>
      </c>
      <c r="AA117" s="410"/>
      <c r="AB117" s="411"/>
      <c r="AC117" s="410">
        <f t="shared" si="87"/>
        <v>0</v>
      </c>
      <c r="AD117" s="411">
        <f t="shared" si="88"/>
        <v>0</v>
      </c>
      <c r="AE117" s="411">
        <f t="shared" si="88"/>
        <v>0</v>
      </c>
      <c r="AF117" s="411">
        <f t="shared" si="88"/>
        <v>0</v>
      </c>
      <c r="AG117" s="411">
        <f t="shared" si="88"/>
        <v>0</v>
      </c>
      <c r="AH117" s="411">
        <f t="shared" si="88"/>
        <v>0</v>
      </c>
      <c r="AI117" s="411">
        <f t="shared" si="88"/>
        <v>0</v>
      </c>
      <c r="AJ117" s="411">
        <f t="shared" si="88"/>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5">
      <c r="A118" s="343" t="str">
        <f>A$51&amp;" - "&amp;VLOOKUP(RIGHT(C118,3),NameConv!$E$3:$F$16,2,FALSE)&amp;" - Existing"</f>
        <v>Commercial - Other - Oil HFO - Existing</v>
      </c>
      <c r="B118" s="343" t="str">
        <f t="shared" si="79"/>
        <v>CNOOHF-E</v>
      </c>
      <c r="C118" s="346" t="str">
        <f>$H$6</f>
        <v>COMOHF</v>
      </c>
      <c r="D118" s="346" t="str">
        <f t="shared" si="89"/>
        <v>CNO</v>
      </c>
      <c r="E118" s="347">
        <v>1</v>
      </c>
      <c r="F118" s="382">
        <f>SUMIF(AFA!$B$2:$J$2,D118,AFA!$B$4:$J$4)</f>
        <v>0.64739999999999998</v>
      </c>
      <c r="G118" s="348">
        <v>15</v>
      </c>
      <c r="H118" s="349">
        <f t="shared" si="80"/>
        <v>0</v>
      </c>
      <c r="I118" s="349">
        <f>SUMIF('Technology costs'!$B$7:$B$28,COM_2012!B118,'Technology costs'!$L$7:$L$28)</f>
        <v>410.88682603593844</v>
      </c>
      <c r="J118" s="349">
        <f t="shared" si="25"/>
        <v>41.088682603593845</v>
      </c>
      <c r="L118" s="350">
        <v>0</v>
      </c>
      <c r="M118" s="349">
        <f t="shared" si="81"/>
        <v>0</v>
      </c>
      <c r="N118" s="349">
        <f t="shared" si="82"/>
        <v>0</v>
      </c>
      <c r="P118" s="479"/>
      <c r="Q118" s="411"/>
      <c r="R118" s="411">
        <f>' COM_2017_old'!R118</f>
        <v>1.3852041970973023E-2</v>
      </c>
      <c r="S118" s="411">
        <f t="shared" si="90"/>
        <v>4.3852041970973019E-2</v>
      </c>
      <c r="T118" s="411">
        <f t="shared" si="90"/>
        <v>0.11385204197097303</v>
      </c>
      <c r="U118" s="411">
        <f t="shared" si="90"/>
        <v>0.31385204197097299</v>
      </c>
      <c r="V118" s="411">
        <f t="shared" si="90"/>
        <v>0.51385204197097301</v>
      </c>
      <c r="W118" s="411">
        <f t="shared" si="90"/>
        <v>0.71385204197097296</v>
      </c>
      <c r="X118" s="411">
        <f t="shared" si="90"/>
        <v>0.91385204197097303</v>
      </c>
      <c r="Y118" s="411">
        <f t="shared" si="90"/>
        <v>1</v>
      </c>
      <c r="AA118" s="410"/>
      <c r="AB118" s="411"/>
      <c r="AC118" s="410">
        <f t="shared" si="87"/>
        <v>1.3319271125935599E-2</v>
      </c>
      <c r="AD118" s="411">
        <f t="shared" si="88"/>
        <v>1.2919692992157531E-2</v>
      </c>
      <c r="AE118" s="411">
        <f t="shared" si="88"/>
        <v>1.198734401334204E-2</v>
      </c>
      <c r="AF118" s="411">
        <f t="shared" si="88"/>
        <v>9.3234897881549188E-3</v>
      </c>
      <c r="AG118" s="411">
        <f t="shared" si="88"/>
        <v>6.6596355629677997E-3</v>
      </c>
      <c r="AH118" s="411">
        <f t="shared" si="88"/>
        <v>3.9957813377806796E-3</v>
      </c>
      <c r="AI118" s="411">
        <f t="shared" si="88"/>
        <v>1.33192711259356E-3</v>
      </c>
      <c r="AJ118" s="411">
        <f t="shared" si="88"/>
        <v>0</v>
      </c>
      <c r="AK118" s="314">
        <f t="shared" si="27"/>
        <v>58</v>
      </c>
      <c r="AN118" s="389">
        <f t="shared" si="23"/>
        <v>0</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5">
      <c r="A119" s="343" t="str">
        <f>A$51&amp;" - "&amp;VLOOKUP(RIGHT(C119,3),NameConv!$E$3:$F$16,2,FALSE)&amp;" - Existing"</f>
        <v>Commercial - Other - Oil Paraffin - Existing</v>
      </c>
      <c r="B119" s="343" t="str">
        <f t="shared" si="79"/>
        <v>CNOOKE-E</v>
      </c>
      <c r="C119" s="346" t="str">
        <f>$I$6</f>
        <v>COMOKE</v>
      </c>
      <c r="D119" s="346" t="str">
        <f t="shared" si="89"/>
        <v>CNO</v>
      </c>
      <c r="E119" s="347">
        <v>1</v>
      </c>
      <c r="F119" s="382">
        <f>SUMIF(AFA!$B$2:$J$2,D119,AFA!$B$4:$J$4)</f>
        <v>0.64739999999999998</v>
      </c>
      <c r="G119" s="348">
        <v>15</v>
      </c>
      <c r="H119" s="349">
        <f t="shared" si="80"/>
        <v>0</v>
      </c>
      <c r="I119" s="349">
        <f>SUMIF('Technology costs'!$B$7:$B$29,COM_2012!B119,'Technology costs'!$L$7:$L$29)</f>
        <v>410.88682603593844</v>
      </c>
      <c r="J119" s="349">
        <f>I119*0.1</f>
        <v>41.088682603593845</v>
      </c>
      <c r="L119" s="350">
        <v>0</v>
      </c>
      <c r="M119" s="349">
        <f t="shared" si="81"/>
        <v>0</v>
      </c>
      <c r="N119" s="349">
        <f t="shared" si="82"/>
        <v>0</v>
      </c>
      <c r="P119" s="479"/>
      <c r="Q119" s="411"/>
      <c r="R119" s="411">
        <f>' COM_2017_old'!R119</f>
        <v>0</v>
      </c>
      <c r="S119" s="411">
        <f t="shared" ref="S119:Y119" si="91">R119</f>
        <v>0</v>
      </c>
      <c r="T119" s="411">
        <f t="shared" si="91"/>
        <v>0</v>
      </c>
      <c r="U119" s="411">
        <f t="shared" si="91"/>
        <v>0</v>
      </c>
      <c r="V119" s="411">
        <f t="shared" si="91"/>
        <v>0</v>
      </c>
      <c r="W119" s="411">
        <f t="shared" si="91"/>
        <v>0</v>
      </c>
      <c r="X119" s="411">
        <f t="shared" si="91"/>
        <v>0</v>
      </c>
      <c r="Y119" s="411">
        <f t="shared" si="91"/>
        <v>0</v>
      </c>
      <c r="AA119" s="410"/>
      <c r="AB119" s="411"/>
      <c r="AC119" s="410">
        <f t="shared" si="87"/>
        <v>0</v>
      </c>
      <c r="AD119" s="411">
        <f t="shared" si="88"/>
        <v>0</v>
      </c>
      <c r="AE119" s="411">
        <f t="shared" si="88"/>
        <v>0</v>
      </c>
      <c r="AF119" s="411">
        <f t="shared" si="88"/>
        <v>0</v>
      </c>
      <c r="AG119" s="411">
        <f t="shared" si="88"/>
        <v>0</v>
      </c>
      <c r="AH119" s="411">
        <f t="shared" si="88"/>
        <v>0</v>
      </c>
      <c r="AI119" s="411">
        <f t="shared" si="88"/>
        <v>0</v>
      </c>
      <c r="AJ119" s="411">
        <f t="shared" si="88"/>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c r="A120" s="352" t="s">
        <v>1555</v>
      </c>
      <c r="L120" s="359"/>
      <c r="M120" s="356">
        <f>SUM(M113:M119)</f>
        <v>0</v>
      </c>
      <c r="N120" s="356">
        <f>SUM(N113:N119)</f>
        <v>0</v>
      </c>
      <c r="P120" s="479"/>
      <c r="AK120" s="314">
        <f t="shared" si="27"/>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2578125" defaultRowHeight="12.75"/>
  <cols>
    <col min="1" max="1" width="11.42578125" style="1"/>
    <col min="2" max="3" width="15" style="1" customWidth="1"/>
    <col min="4" max="5" width="11.42578125" style="1"/>
    <col min="6" max="6" width="14" style="1" customWidth="1"/>
    <col min="7" max="8" width="11.42578125" style="1"/>
    <col min="9" max="9" width="24.140625" style="1" customWidth="1"/>
    <col min="10"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row>
    <row r="3" spans="1:23">
      <c r="A3" s="21" t="s">
        <v>181</v>
      </c>
    </row>
    <row r="4" spans="1:2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c r="A7" s="42" t="s">
        <v>524</v>
      </c>
      <c r="B7" s="43"/>
      <c r="C7" s="43"/>
      <c r="D7" s="43"/>
      <c r="E7" s="43"/>
      <c r="F7" s="43"/>
      <c r="G7" s="43"/>
      <c r="H7" s="43"/>
      <c r="I7" s="43"/>
      <c r="J7" s="43"/>
      <c r="K7" s="43"/>
      <c r="L7" s="43"/>
      <c r="M7" s="43"/>
      <c r="N7" s="43"/>
      <c r="O7" s="43"/>
      <c r="P7" s="43"/>
      <c r="Q7" s="43"/>
      <c r="R7" s="43"/>
      <c r="S7" s="43"/>
      <c r="T7" s="43"/>
      <c r="U7" s="43"/>
      <c r="V7" s="43"/>
      <c r="W7" s="43"/>
    </row>
    <row r="9" spans="1:23" ht="25.5">
      <c r="A9" s="9"/>
      <c r="B9" s="223" t="s">
        <v>42</v>
      </c>
      <c r="C9" s="223" t="s">
        <v>468</v>
      </c>
      <c r="D9" s="223" t="s">
        <v>469</v>
      </c>
      <c r="E9" s="223" t="s">
        <v>470</v>
      </c>
      <c r="F9" s="223" t="s">
        <v>471</v>
      </c>
      <c r="G9" s="223" t="s">
        <v>472</v>
      </c>
      <c r="H9" s="223" t="s">
        <v>43</v>
      </c>
      <c r="I9" s="9" t="s">
        <v>525</v>
      </c>
    </row>
    <row r="10" spans="1:23" ht="38.25">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c r="A12" s="6"/>
    </row>
    <row r="13" spans="1:23" ht="25.5">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c r="A18" s="143" t="s">
        <v>467</v>
      </c>
      <c r="B18" s="14">
        <v>2001</v>
      </c>
      <c r="C18" s="14">
        <v>2006</v>
      </c>
      <c r="D18" s="14">
        <v>1994</v>
      </c>
      <c r="G18" s="103"/>
    </row>
    <row r="19" spans="1:7">
      <c r="A19" s="225" t="s">
        <v>137</v>
      </c>
      <c r="B19" s="226">
        <f>'End use share 2001'!I24</f>
        <v>731.26290587106166</v>
      </c>
      <c r="C19" s="226">
        <f>'2006 Energy data '!B11/'floor space forecast_SA'!$C$34</f>
        <v>1098.0528704307048</v>
      </c>
      <c r="D19" s="226">
        <f>'End use share 1994'!J19</f>
        <v>816.09831029185875</v>
      </c>
      <c r="G19" s="103"/>
    </row>
    <row r="20" spans="1:7">
      <c r="A20" s="225" t="s">
        <v>138</v>
      </c>
      <c r="B20" s="226">
        <f>'End use share 2001'!I25</f>
        <v>0.1381718083601868</v>
      </c>
      <c r="C20" s="226">
        <f>'2006 Energy data '!B12/'floor space forecast_SA'!$C$34</f>
        <v>9.7810037339389325E-2</v>
      </c>
      <c r="D20" s="226">
        <f>'End use share 1994'!J20</f>
        <v>30.952380952380956</v>
      </c>
    </row>
    <row r="21" spans="1:7">
      <c r="A21" s="225" t="s">
        <v>139</v>
      </c>
      <c r="B21" s="226">
        <f>'End use share 2001'!I26</f>
        <v>1.7271476045023351</v>
      </c>
      <c r="C21" s="226">
        <f>'2006 Energy data '!B13/'floor space forecast_SA'!$C$34</f>
        <v>2.6245693352736135</v>
      </c>
      <c r="D21" s="226">
        <f>'End use share 1994'!J21</f>
        <v>2.350230414746544</v>
      </c>
    </row>
    <row r="22" spans="1:7">
      <c r="A22" s="225" t="s">
        <v>141</v>
      </c>
      <c r="B22" s="226">
        <f>'End use share 2001'!I27</f>
        <v>230.28634726697803</v>
      </c>
      <c r="C22" s="226">
        <f>'2006 Energy data '!B14/'floor space forecast_SA'!$C$34</f>
        <v>609.58475604485409</v>
      </c>
      <c r="D22" s="226">
        <f>'End use share 1994'!J22</f>
        <v>250.38402457757297</v>
      </c>
    </row>
    <row r="23" spans="1:7">
      <c r="A23" s="225" t="s">
        <v>464</v>
      </c>
      <c r="B23" s="226">
        <f>'End use share 2001'!I28</f>
        <v>0</v>
      </c>
      <c r="C23" s="226">
        <f>'2006 Energy data '!B15/'floor space forecast_SA'!$C$34</f>
        <v>144.81273229119734</v>
      </c>
      <c r="D23" s="226">
        <f>'End use share 1994'!J23</f>
        <v>43.824884792626733</v>
      </c>
    </row>
    <row r="24" spans="1:7">
      <c r="A24" s="225" t="s">
        <v>473</v>
      </c>
      <c r="B24" s="226">
        <f>'End use share 2001'!I29</f>
        <v>13.356608141484722</v>
      </c>
      <c r="C24" s="226">
        <f>'2006 Energy data '!B16/'floor space forecast_SA'!$C$34</f>
        <v>7.0441973808183702</v>
      </c>
      <c r="D24" s="226">
        <f>'End use share 1994'!J24</f>
        <v>6.1213517665130572</v>
      </c>
    </row>
    <row r="26" spans="1:7">
      <c r="A26" s="143" t="s">
        <v>110</v>
      </c>
      <c r="B26" s="14">
        <v>2001</v>
      </c>
      <c r="C26" s="14">
        <v>2006</v>
      </c>
    </row>
    <row r="27" spans="1:7">
      <c r="A27" s="225" t="s">
        <v>137</v>
      </c>
      <c r="B27" s="226">
        <f>'End use share 2001'!B10</f>
        <v>63509.010807600003</v>
      </c>
      <c r="C27" s="226">
        <f>'2006 Energy data '!B11</f>
        <v>134716.5874136934</v>
      </c>
    </row>
    <row r="28" spans="1:7">
      <c r="A28" s="225" t="s">
        <v>138</v>
      </c>
      <c r="B28" s="226">
        <f>'End use share 2001'!B11</f>
        <v>12</v>
      </c>
      <c r="C28" s="226">
        <f>'2006 Energy data '!B12</f>
        <v>12</v>
      </c>
    </row>
    <row r="29" spans="1:7">
      <c r="A29" s="225" t="s">
        <v>139</v>
      </c>
      <c r="B29" s="226">
        <f>'End use share 2001'!B12</f>
        <v>150</v>
      </c>
      <c r="C29" s="226">
        <f>'2006 Energy data '!B13</f>
        <v>322</v>
      </c>
    </row>
    <row r="30" spans="1:7">
      <c r="A30" s="225" t="s">
        <v>141</v>
      </c>
      <c r="B30" s="226">
        <f>'End use share 2001'!B13</f>
        <v>20000</v>
      </c>
      <c r="C30" s="226">
        <f>'2006 Energy data '!B14</f>
        <v>74788</v>
      </c>
    </row>
    <row r="31" spans="1:7">
      <c r="A31" s="225" t="s">
        <v>464</v>
      </c>
      <c r="B31" s="226">
        <f>'End use share 2001'!B14</f>
        <v>0</v>
      </c>
      <c r="C31" s="226">
        <f>'2006 Energy data '!B15</f>
        <v>17766.61</v>
      </c>
    </row>
    <row r="32" spans="1:7">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40625" defaultRowHeight="12.75"/>
  <cols>
    <col min="1" max="1" width="12.85546875" style="461" customWidth="1"/>
    <col min="2" max="2" width="6.85546875" style="461" customWidth="1"/>
    <col min="3" max="23" width="5.42578125" style="461" customWidth="1"/>
    <col min="24" max="28" width="9.140625" style="461"/>
    <col min="29" max="29" width="15.140625" style="461" customWidth="1"/>
    <col min="30" max="30" width="9.140625" style="461"/>
    <col min="31" max="31" width="12.140625" style="461" customWidth="1"/>
    <col min="32" max="16384" width="9.140625" style="461"/>
  </cols>
  <sheetData>
    <row r="1" spans="1:33" ht="15.95"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5.95"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3">
        <v>84.25</v>
      </c>
    </row>
    <row r="3" spans="1:33" ht="15.95"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82"/>
      <c r="AC3" s="782"/>
      <c r="AD3" s="782"/>
      <c r="AE3" s="782" t="s">
        <v>920</v>
      </c>
      <c r="AF3" s="782" t="s">
        <v>1652</v>
      </c>
      <c r="AG3" s="782"/>
    </row>
    <row r="4" spans="1:33" ht="15.95"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82"/>
      <c r="AC4" s="782" t="s">
        <v>1653</v>
      </c>
      <c r="AD4" s="782">
        <v>2015</v>
      </c>
      <c r="AE4" s="782"/>
      <c r="AF4" s="782"/>
      <c r="AG4" s="782"/>
    </row>
    <row r="5" spans="1:33">
      <c r="A5" s="461" t="s">
        <v>851</v>
      </c>
      <c r="AB5" s="782"/>
      <c r="AC5" s="782" t="s">
        <v>1654</v>
      </c>
      <c r="AD5" s="782">
        <v>2022</v>
      </c>
      <c r="AE5" s="782"/>
      <c r="AF5" s="782"/>
      <c r="AG5" s="782"/>
    </row>
    <row r="6" spans="1:33">
      <c r="A6" s="467" t="s">
        <v>852</v>
      </c>
      <c r="AB6" s="782"/>
      <c r="AC6" s="782"/>
      <c r="AD6" s="782"/>
      <c r="AE6" s="782"/>
      <c r="AF6" s="782"/>
      <c r="AG6" s="782"/>
    </row>
    <row r="7" spans="1:33">
      <c r="A7" s="461" t="s">
        <v>853</v>
      </c>
      <c r="AB7" s="782"/>
      <c r="AC7" s="782" t="s">
        <v>1659</v>
      </c>
      <c r="AD7" s="782">
        <v>1.4055467391304348</v>
      </c>
      <c r="AE7" s="782" t="s">
        <v>1660</v>
      </c>
      <c r="AF7" s="782"/>
      <c r="AG7" s="782"/>
    </row>
    <row r="8" spans="1:33">
      <c r="AB8" s="782"/>
      <c r="AC8" s="782" t="s">
        <v>1661</v>
      </c>
      <c r="AD8" s="782">
        <v>1.2347347505031283</v>
      </c>
      <c r="AE8" s="782" t="s">
        <v>1662</v>
      </c>
      <c r="AF8" s="782"/>
      <c r="AG8" s="782"/>
    </row>
    <row r="9" spans="1:33">
      <c r="A9" s="461" t="s">
        <v>854</v>
      </c>
      <c r="AB9" s="782"/>
      <c r="AC9" s="782"/>
      <c r="AD9" s="782" t="s">
        <v>1655</v>
      </c>
      <c r="AE9" s="782"/>
      <c r="AF9" s="782" t="s">
        <v>1656</v>
      </c>
      <c r="AG9" s="782"/>
    </row>
    <row r="10" spans="1:33" ht="15">
      <c r="B10" s="468">
        <v>2010</v>
      </c>
      <c r="C10" s="461" t="s">
        <v>855</v>
      </c>
      <c r="E10" s="461">
        <v>2005</v>
      </c>
      <c r="G10" s="461">
        <v>2006</v>
      </c>
      <c r="AB10" s="782" t="s">
        <v>885</v>
      </c>
      <c r="AC10" s="782" t="s">
        <v>1661</v>
      </c>
      <c r="AD10" s="782">
        <v>12.937225000000003</v>
      </c>
      <c r="AE10" s="782" t="s">
        <v>1663</v>
      </c>
      <c r="AF10" s="782">
        <v>18.183874412146743</v>
      </c>
      <c r="AG10" s="782" t="s">
        <v>1660</v>
      </c>
    </row>
    <row r="11" spans="1:33">
      <c r="A11" s="461" t="s">
        <v>856</v>
      </c>
      <c r="AB11" s="782" t="s">
        <v>1657</v>
      </c>
      <c r="AC11" s="782" t="s">
        <v>1661</v>
      </c>
      <c r="AD11" s="782">
        <v>1.2347347505031283</v>
      </c>
      <c r="AE11" s="782" t="s">
        <v>1664</v>
      </c>
      <c r="AF11" s="782">
        <v>20.312384723033116</v>
      </c>
      <c r="AG11" s="782" t="s">
        <v>1660</v>
      </c>
    </row>
    <row r="12" spans="1:33" ht="15">
      <c r="B12" s="468">
        <v>2012</v>
      </c>
      <c r="C12" s="461" t="s">
        <v>855</v>
      </c>
      <c r="E12" s="461">
        <v>2010</v>
      </c>
      <c r="G12" s="461">
        <v>2010</v>
      </c>
      <c r="AB12" s="782" t="s">
        <v>1658</v>
      </c>
      <c r="AC12" s="782" t="s">
        <v>1661</v>
      </c>
      <c r="AD12" s="782"/>
      <c r="AE12" s="782"/>
      <c r="AF12" s="782">
        <v>19.248129567589928</v>
      </c>
      <c r="AG12" s="782" t="s">
        <v>1660</v>
      </c>
    </row>
    <row r="13" spans="1:33">
      <c r="A13" s="461" t="s">
        <v>857</v>
      </c>
    </row>
    <row r="14" spans="1:33" ht="15">
      <c r="A14" s="461" t="s">
        <v>858</v>
      </c>
      <c r="B14" s="469">
        <f>1/B15</f>
        <v>1.1665213324705017</v>
      </c>
      <c r="E14" s="469">
        <f>1/E15</f>
        <v>1.6888866539095024</v>
      </c>
      <c r="G14" s="469">
        <f>1/G15</f>
        <v>1.5853980057513077</v>
      </c>
    </row>
    <row r="15" spans="1:33" ht="1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5.95"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5.95"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5.95"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5.95"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5.95"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5.95"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5546875" defaultRowHeight="12.75"/>
  <cols>
    <col min="1" max="1" width="50" customWidth="1"/>
    <col min="2" max="2" width="17" customWidth="1"/>
    <col min="3" max="3" width="8.42578125" customWidth="1"/>
    <col min="4" max="4" width="14.85546875" customWidth="1"/>
    <col min="5" max="5" width="12" customWidth="1"/>
    <col min="6" max="6" width="15" customWidth="1"/>
    <col min="7" max="7" width="10.5703125" customWidth="1"/>
    <col min="8" max="8" width="14.140625" customWidth="1"/>
    <col min="9" max="9" width="16.85546875" customWidth="1"/>
  </cols>
  <sheetData>
    <row r="1" spans="1:12">
      <c r="A1" s="314"/>
    </row>
    <row r="4" spans="1:12" ht="13.5" thickBot="1">
      <c r="B4" s="480" t="s">
        <v>923</v>
      </c>
      <c r="C4" s="481">
        <f>Deflator!P25</f>
        <v>6.3593283333333304</v>
      </c>
      <c r="D4" t="s">
        <v>920</v>
      </c>
      <c r="E4" s="458"/>
    </row>
    <row r="5" spans="1:12" ht="13.5" thickBot="1">
      <c r="D5" s="795" t="s">
        <v>781</v>
      </c>
      <c r="E5" s="796"/>
      <c r="F5" s="797"/>
      <c r="G5" s="795" t="s">
        <v>780</v>
      </c>
      <c r="H5" s="796"/>
      <c r="I5" s="797"/>
      <c r="J5" s="314"/>
    </row>
    <row r="6" spans="1:12">
      <c r="C6" s="314" t="s">
        <v>777</v>
      </c>
      <c r="D6" s="314" t="s">
        <v>778</v>
      </c>
      <c r="E6" s="314" t="s">
        <v>442</v>
      </c>
      <c r="F6" s="314" t="s">
        <v>1195</v>
      </c>
      <c r="G6" s="392" t="s">
        <v>782</v>
      </c>
      <c r="H6" s="393" t="s">
        <v>1196</v>
      </c>
      <c r="I6" s="394" t="s">
        <v>786</v>
      </c>
      <c r="L6" t="s">
        <v>1660</v>
      </c>
    </row>
    <row r="7" spans="1:12" ht="1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7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2578125" defaultRowHeight="11.25"/>
  <cols>
    <col min="1" max="1" width="12.140625" style="304" customWidth="1"/>
    <col min="2" max="2" width="42.42578125" style="304" customWidth="1"/>
    <col min="3" max="3" width="28.42578125" style="304" customWidth="1"/>
    <col min="4" max="4" width="21.7109375" style="304" customWidth="1"/>
    <col min="5" max="16384" width="11.42578125" style="304"/>
  </cols>
  <sheetData>
    <row r="1" spans="1:2">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t="s">
        <v>489</v>
      </c>
      <c r="E2" s="1" t="s">
        <v>138</v>
      </c>
      <c r="F2" s="1" t="s">
        <v>490</v>
      </c>
      <c r="G2" s="1" t="s">
        <v>491</v>
      </c>
      <c r="H2" s="1" t="s">
        <v>492</v>
      </c>
      <c r="I2" s="1" t="s">
        <v>465</v>
      </c>
      <c r="J2" s="1" t="s">
        <v>493</v>
      </c>
      <c r="K2" s="1" t="s">
        <v>494</v>
      </c>
      <c r="L2" s="1" t="s">
        <v>224</v>
      </c>
      <c r="M2" s="1"/>
    </row>
    <row r="3" spans="1:26">
      <c r="A3" s="21" t="s">
        <v>181</v>
      </c>
      <c r="D3" s="1"/>
      <c r="L3" s="1"/>
      <c r="M3" s="1"/>
    </row>
    <row r="4" spans="1:26">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38.2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38.2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38.2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c r="A43" s="229" t="s">
        <v>566</v>
      </c>
      <c r="D43" s="249"/>
    </row>
    <row r="44" spans="1:16" ht="13.5" customHeight="1">
      <c r="L44" s="1"/>
      <c r="M44" s="1"/>
      <c r="N44" s="798" t="s">
        <v>567</v>
      </c>
      <c r="O44" s="798"/>
      <c r="P44" s="798"/>
    </row>
    <row r="45" spans="1:16" ht="38.2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38.2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98" t="s">
        <v>567</v>
      </c>
      <c r="O56" s="798"/>
      <c r="P56" s="798"/>
    </row>
    <row r="57" spans="1:28" ht="38.2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c r="A64" s="6" t="s">
        <v>810</v>
      </c>
      <c r="C64" s="1"/>
      <c r="D64" s="274"/>
      <c r="E64" s="431"/>
      <c r="F64" s="432"/>
      <c r="G64" s="432"/>
      <c r="H64" s="432"/>
      <c r="I64" s="432"/>
      <c r="J64" s="433"/>
      <c r="K64" s="434"/>
      <c r="L64" s="434"/>
      <c r="N64" s="435"/>
      <c r="O64" s="436"/>
      <c r="P64" s="436"/>
      <c r="U64" s="445"/>
      <c r="X64" s="446"/>
      <c r="Z64" s="445"/>
      <c r="AB64" s="446"/>
    </row>
    <row r="65" spans="1:28" s="255" customFormat="1">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c r="G71" s="276"/>
      <c r="H71" s="276"/>
      <c r="I71" s="276"/>
      <c r="J71" s="277"/>
      <c r="K71" s="278"/>
      <c r="L71" s="278"/>
    </row>
    <row r="72" spans="1:28" s="255" customFormat="1">
      <c r="A72" s="1"/>
      <c r="B72" s="1"/>
      <c r="C72" s="1"/>
      <c r="D72" s="274"/>
      <c r="E72" s="275"/>
      <c r="F72" s="499">
        <f>SUM(F65:F70)</f>
        <v>0.99973998207474879</v>
      </c>
      <c r="G72" s="276"/>
      <c r="H72" s="276"/>
      <c r="I72" s="276"/>
      <c r="J72" s="277"/>
      <c r="K72" s="278"/>
      <c r="L72" s="278"/>
    </row>
    <row r="73" spans="1:28" s="234" customFormat="1">
      <c r="A73" s="229" t="s">
        <v>597</v>
      </c>
      <c r="D73" s="268"/>
      <c r="E73" s="269"/>
      <c r="F73" s="270"/>
      <c r="G73" s="270"/>
      <c r="H73" s="270"/>
      <c r="I73" s="270"/>
      <c r="J73" s="271"/>
      <c r="K73" s="272"/>
      <c r="L73" s="272"/>
      <c r="M73" s="272"/>
      <c r="N73" s="272"/>
    </row>
    <row r="74" spans="1:28">
      <c r="A74" s="48"/>
      <c r="D74" s="172"/>
      <c r="E74" s="263"/>
      <c r="F74" s="265"/>
      <c r="G74" s="265"/>
      <c r="H74" s="265"/>
      <c r="I74" s="265"/>
      <c r="J74" s="266"/>
      <c r="K74" s="267"/>
      <c r="L74" s="267"/>
      <c r="M74" s="267"/>
      <c r="N74" s="267"/>
    </row>
    <row r="75" spans="1:28" ht="38.25">
      <c r="A75" s="9" t="s">
        <v>224</v>
      </c>
      <c r="B75" s="250" t="s">
        <v>598</v>
      </c>
      <c r="C75" s="250" t="s">
        <v>599</v>
      </c>
      <c r="D75" s="622" t="s">
        <v>600</v>
      </c>
      <c r="E75" s="623" t="s">
        <v>601</v>
      </c>
      <c r="F75" s="250" t="s">
        <v>602</v>
      </c>
      <c r="G75" s="250" t="s">
        <v>603</v>
      </c>
      <c r="H75" s="250" t="s">
        <v>604</v>
      </c>
      <c r="I75" s="250"/>
      <c r="L75" s="1"/>
      <c r="M75" s="1"/>
    </row>
    <row r="76" spans="1:28">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c r="A87" s="282" t="s">
        <v>606</v>
      </c>
      <c r="D87" s="249"/>
      <c r="M87" s="283"/>
    </row>
    <row r="88" spans="1:13">
      <c r="A88" s="1" t="s">
        <v>607</v>
      </c>
      <c r="J88" s="73"/>
      <c r="L88" s="1"/>
      <c r="M88" s="1"/>
    </row>
    <row r="89" spans="1:13">
      <c r="A89" s="1" t="s">
        <v>608</v>
      </c>
      <c r="J89" s="73"/>
      <c r="L89" s="1"/>
      <c r="M89" s="1"/>
    </row>
    <row r="90" spans="1:13">
      <c r="J90" s="73"/>
      <c r="L90" s="1"/>
      <c r="M90" s="1"/>
    </row>
    <row r="91" spans="1:13">
      <c r="A91" s="284" t="s">
        <v>609</v>
      </c>
      <c r="B91" s="148" t="s">
        <v>610</v>
      </c>
      <c r="C91" s="149" t="s">
        <v>611</v>
      </c>
      <c r="D91" s="285">
        <v>2008</v>
      </c>
      <c r="L91" s="1"/>
      <c r="M91" s="1"/>
    </row>
    <row r="92" spans="1:13">
      <c r="A92" s="284"/>
      <c r="B92" s="148"/>
      <c r="C92" s="286" t="s">
        <v>612</v>
      </c>
      <c r="D92" s="287" t="s">
        <v>613</v>
      </c>
      <c r="L92" s="1"/>
      <c r="M92" s="1"/>
    </row>
    <row r="93" spans="1: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8" t="s">
        <v>567</v>
      </c>
      <c r="O54" s="798"/>
      <c r="P54" s="798"/>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8" t="s">
        <v>567</v>
      </c>
      <c r="O54" s="798"/>
      <c r="P54" s="798"/>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75"/>
  <cols>
    <col min="1" max="1" width="34.425781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 width="12.42578125" style="68" bestFit="1" customWidth="1"/>
    <col min="17"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c r="A155" s="217" t="s">
        <v>515</v>
      </c>
      <c r="B155" s="220">
        <v>0.9</v>
      </c>
      <c r="C155" s="220">
        <v>0.1</v>
      </c>
      <c r="D155" s="220"/>
      <c r="E155" s="1"/>
      <c r="F155" s="217" t="s">
        <v>515</v>
      </c>
      <c r="G155" s="67">
        <f t="shared" si="33"/>
        <v>163428.84</v>
      </c>
      <c r="H155" s="67">
        <f t="shared" si="33"/>
        <v>18158.760000000002</v>
      </c>
      <c r="I155" s="67">
        <f t="shared" si="33"/>
        <v>0</v>
      </c>
    </row>
    <row r="156" spans="1:9">
      <c r="A156" s="217" t="s">
        <v>516</v>
      </c>
      <c r="B156" s="220">
        <v>0.5</v>
      </c>
      <c r="C156" s="220">
        <v>0.5</v>
      </c>
      <c r="D156" s="220"/>
      <c r="E156" s="1"/>
      <c r="F156" s="217" t="s">
        <v>516</v>
      </c>
      <c r="G156" s="67">
        <f t="shared" si="33"/>
        <v>25.92</v>
      </c>
      <c r="H156" s="67">
        <f t="shared" si="33"/>
        <v>25.92</v>
      </c>
      <c r="I156" s="67">
        <f t="shared" si="33"/>
        <v>0</v>
      </c>
    </row>
    <row r="157" spans="1:9">
      <c r="A157" s="217" t="s">
        <v>517</v>
      </c>
      <c r="B157" s="220"/>
      <c r="C157" s="220"/>
      <c r="D157" s="220"/>
      <c r="E157" s="1"/>
      <c r="F157" s="217" t="s">
        <v>517</v>
      </c>
      <c r="G157" s="67">
        <f t="shared" si="33"/>
        <v>0</v>
      </c>
      <c r="H157" s="67">
        <f t="shared" si="33"/>
        <v>0</v>
      </c>
      <c r="I157" s="67">
        <f t="shared" si="33"/>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75"/>
  <cols>
    <col min="1" max="1" width="24.1406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c r="A155" s="217" t="s">
        <v>515</v>
      </c>
      <c r="B155" s="220">
        <v>0.9</v>
      </c>
      <c r="C155" s="220">
        <v>0.1</v>
      </c>
      <c r="D155" s="220"/>
      <c r="E155" s="1"/>
      <c r="F155" s="217" t="s">
        <v>515</v>
      </c>
      <c r="G155" s="67">
        <f t="shared" si="47"/>
        <v>163428.84</v>
      </c>
      <c r="H155" s="67">
        <f t="shared" si="47"/>
        <v>18158.760000000002</v>
      </c>
      <c r="I155" s="67">
        <f t="shared" si="47"/>
        <v>0</v>
      </c>
    </row>
    <row r="156" spans="1:9">
      <c r="A156" s="217" t="s">
        <v>516</v>
      </c>
      <c r="B156" s="220">
        <v>0.5</v>
      </c>
      <c r="C156" s="220">
        <v>0.5</v>
      </c>
      <c r="D156" s="220"/>
      <c r="E156" s="1"/>
      <c r="F156" s="217" t="s">
        <v>516</v>
      </c>
      <c r="G156" s="67">
        <f t="shared" si="47"/>
        <v>25.92</v>
      </c>
      <c r="H156" s="67">
        <f t="shared" si="47"/>
        <v>25.92</v>
      </c>
      <c r="I156" s="67">
        <f t="shared" si="47"/>
        <v>0</v>
      </c>
    </row>
    <row r="157" spans="1:9">
      <c r="A157" s="217" t="s">
        <v>517</v>
      </c>
      <c r="B157" s="220"/>
      <c r="C157" s="220"/>
      <c r="D157" s="220"/>
      <c r="E157" s="1"/>
      <c r="F157" s="217" t="s">
        <v>517</v>
      </c>
      <c r="G157" s="67">
        <f t="shared" si="47"/>
        <v>0</v>
      </c>
      <c r="H157" s="67">
        <f t="shared" si="47"/>
        <v>0</v>
      </c>
      <c r="I157" s="67">
        <f t="shared" si="47"/>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31" zoomScale="65" workbookViewId="0">
      <selection activeCell="D55" sqref="D55"/>
    </sheetView>
  </sheetViews>
  <sheetFormatPr defaultColWidth="8.85546875" defaultRowHeight="12.75"/>
  <cols>
    <col min="1" max="1" width="52.7109375" style="314" customWidth="1"/>
    <col min="2" max="11" width="8.42578125" style="314" customWidth="1"/>
    <col min="12" max="17" width="6.28515625" style="314" customWidth="1"/>
    <col min="18" max="37" width="10" style="314" customWidth="1"/>
    <col min="38" max="38" width="11.7109375" style="314" customWidth="1"/>
    <col min="39" max="42" width="10" style="314" customWidth="1"/>
    <col min="43" max="16384" width="8.85546875" style="314"/>
  </cols>
  <sheetData>
    <row r="1" spans="1:42">
      <c r="A1" s="551" t="s">
        <v>441</v>
      </c>
      <c r="B1" s="800" t="s">
        <v>638</v>
      </c>
      <c r="C1" s="800"/>
      <c r="D1" s="800"/>
      <c r="E1" s="485" t="s">
        <v>639</v>
      </c>
      <c r="F1" s="485"/>
      <c r="G1" s="485"/>
      <c r="H1" s="551"/>
      <c r="I1" s="485"/>
      <c r="J1" s="551"/>
      <c r="K1" s="576"/>
    </row>
    <row r="2" spans="1:42">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c r="A13" s="314" t="s">
        <v>658</v>
      </c>
      <c r="B13" s="551" t="s">
        <v>659</v>
      </c>
      <c r="C13" s="313">
        <v>0.1</v>
      </c>
      <c r="D13" s="313">
        <v>0.1</v>
      </c>
      <c r="E13" s="313">
        <v>0</v>
      </c>
      <c r="F13" s="313">
        <v>0.05</v>
      </c>
      <c r="G13" s="313">
        <v>0.1</v>
      </c>
      <c r="H13" s="313">
        <v>0.1</v>
      </c>
      <c r="I13" s="313"/>
      <c r="J13" s="313"/>
      <c r="K13" s="341"/>
      <c r="L13" s="313">
        <f>L12+1</f>
        <v>5</v>
      </c>
    </row>
    <row r="14" spans="1:42">
      <c r="A14" s="485"/>
      <c r="B14" s="313"/>
      <c r="C14" s="313"/>
      <c r="D14" s="313"/>
      <c r="E14" s="313"/>
      <c r="F14" s="313"/>
      <c r="G14" s="313"/>
      <c r="H14" s="313"/>
      <c r="I14" s="313"/>
      <c r="J14" s="313"/>
      <c r="K14" s="341"/>
    </row>
    <row r="15" spans="1:42">
      <c r="A15" s="485" t="s">
        <v>660</v>
      </c>
      <c r="B15" s="313"/>
      <c r="C15" s="319">
        <v>0</v>
      </c>
      <c r="D15" s="319">
        <v>0</v>
      </c>
      <c r="E15" s="556">
        <v>0.1</v>
      </c>
      <c r="F15" s="319">
        <v>0</v>
      </c>
      <c r="G15" s="319">
        <v>0</v>
      </c>
      <c r="H15" s="319">
        <v>0</v>
      </c>
      <c r="I15" s="319">
        <v>0</v>
      </c>
      <c r="J15" s="319">
        <v>0</v>
      </c>
      <c r="K15" s="341"/>
    </row>
    <row r="16" spans="1:42">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5.5">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90"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c r="A60" s="343" t="str">
        <f>"\I:"&amp;A43</f>
        <v>\I:Commercial - Cooling</v>
      </c>
      <c r="B60" s="339"/>
    </row>
    <row r="61" spans="1:51">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c r="A68" s="343" t="str">
        <f>"\I:"&amp;A44</f>
        <v>\I:Commercial - Space Heating</v>
      </c>
      <c r="B68" s="343"/>
      <c r="C68" s="353"/>
      <c r="D68" s="353"/>
      <c r="E68" s="339"/>
      <c r="F68" s="566"/>
      <c r="G68" s="339"/>
      <c r="H68" s="339"/>
      <c r="I68" s="349"/>
      <c r="J68" s="349"/>
      <c r="K68" s="357"/>
      <c r="L68" s="358"/>
      <c r="M68" s="358"/>
      <c r="AK68" s="314">
        <f t="shared" si="28"/>
        <v>8</v>
      </c>
    </row>
    <row r="69" spans="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c r="A75" s="343" t="str">
        <f>"\I:"&amp;A45</f>
        <v>\I:Commercial - Cooking</v>
      </c>
      <c r="B75" s="343"/>
      <c r="C75" s="353"/>
      <c r="D75" s="353"/>
      <c r="E75" s="339"/>
      <c r="F75" s="566"/>
      <c r="G75" s="339"/>
      <c r="H75" s="339"/>
      <c r="I75" s="349"/>
      <c r="J75" s="349"/>
      <c r="K75" s="357"/>
      <c r="L75" s="358"/>
      <c r="M75" s="358"/>
      <c r="AK75" s="314">
        <f t="shared" si="28"/>
        <v>15</v>
      </c>
    </row>
    <row r="76" spans="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c r="A80" s="343" t="str">
        <f>"\I:"&amp;A46</f>
        <v>\I:Commercial - Lighting</v>
      </c>
      <c r="B80" s="343"/>
      <c r="C80" s="353"/>
      <c r="D80" s="353"/>
      <c r="E80" s="339"/>
      <c r="F80" s="566"/>
      <c r="G80" s="339"/>
      <c r="H80" s="339"/>
      <c r="I80" s="349"/>
      <c r="J80" s="349"/>
      <c r="K80" s="357"/>
      <c r="L80" s="358"/>
      <c r="M80" s="358"/>
      <c r="AK80" s="314">
        <f t="shared" si="28"/>
        <v>20</v>
      </c>
    </row>
    <row r="81" spans="1:38">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c r="A88" s="343" t="str">
        <f>"\I:"&amp;A47</f>
        <v>\I:Commercial - Refrigeration</v>
      </c>
      <c r="B88" s="343"/>
      <c r="C88" s="353"/>
      <c r="D88" s="353"/>
      <c r="E88" s="339"/>
      <c r="F88" s="566"/>
      <c r="G88" s="339"/>
      <c r="H88" s="349"/>
      <c r="I88" s="349"/>
      <c r="J88" s="349"/>
      <c r="K88" s="357"/>
      <c r="L88" s="358"/>
      <c r="M88" s="358"/>
      <c r="AK88" s="314">
        <f t="shared" si="28"/>
        <v>28</v>
      </c>
    </row>
    <row r="89" spans="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c r="A91" s="352" t="s">
        <v>704</v>
      </c>
      <c r="F91" s="566"/>
      <c r="H91" s="349"/>
      <c r="I91" s="349"/>
      <c r="J91" s="349"/>
      <c r="L91" s="563">
        <f>SUM(L89)</f>
        <v>1</v>
      </c>
      <c r="M91" s="356">
        <f>SUM(M89)</f>
        <v>25.463499211305457</v>
      </c>
      <c r="N91" s="356">
        <f>SUM(N89)</f>
        <v>25.463499211305457</v>
      </c>
      <c r="AK91" s="314">
        <f t="shared" si="28"/>
        <v>31</v>
      </c>
      <c r="AL91" s="314" t="str">
        <f>LEFT(B90,3)</f>
        <v>CER</v>
      </c>
    </row>
    <row r="92" spans="1:38">
      <c r="A92" s="343" t="str">
        <f>"\I:"&amp;A48</f>
        <v>\I:Commercial - Water Heating</v>
      </c>
      <c r="B92" s="343"/>
      <c r="C92" s="353"/>
      <c r="D92" s="353"/>
      <c r="E92" s="339"/>
      <c r="F92" s="566"/>
      <c r="G92" s="339"/>
      <c r="H92" s="349"/>
      <c r="I92" s="349"/>
      <c r="J92" s="349"/>
      <c r="K92" s="357"/>
      <c r="L92" s="358"/>
      <c r="M92" s="358"/>
      <c r="AK92" s="314">
        <f t="shared" si="28"/>
        <v>32</v>
      </c>
    </row>
    <row r="93" spans="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c r="A101" s="343" t="str">
        <f>"\I:"&amp;A49</f>
        <v>\I:Commercial - Public Lights</v>
      </c>
      <c r="F101" s="566"/>
      <c r="H101" s="349"/>
      <c r="I101" s="349"/>
      <c r="J101" s="349"/>
      <c r="L101" s="563"/>
      <c r="M101" s="356"/>
      <c r="N101" s="356"/>
      <c r="AK101" s="314">
        <f t="shared" si="28"/>
        <v>41</v>
      </c>
    </row>
    <row r="102" spans="1:38">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c r="A109" s="343" t="str">
        <f>"\I:"&amp;A50</f>
        <v>\I:Commercial - Public Water</v>
      </c>
      <c r="B109" s="343"/>
      <c r="D109" s="571"/>
      <c r="F109" s="566"/>
      <c r="H109" s="349"/>
      <c r="I109" s="349"/>
      <c r="J109" s="349"/>
      <c r="L109" s="563"/>
      <c r="M109" s="356"/>
      <c r="N109" s="356"/>
      <c r="AK109" s="314">
        <f t="shared" si="28"/>
        <v>49</v>
      </c>
    </row>
    <row r="110" spans="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c r="A111" s="352" t="s">
        <v>704</v>
      </c>
      <c r="F111" s="566"/>
      <c r="H111" s="349"/>
      <c r="I111" s="349"/>
      <c r="J111" s="349"/>
      <c r="L111" s="563"/>
      <c r="M111" s="356"/>
      <c r="N111" s="356"/>
      <c r="AK111" s="314">
        <f t="shared" si="28"/>
        <v>51</v>
      </c>
      <c r="AL111" s="314" t="str">
        <f>LEFT(B110,3)</f>
        <v>CET</v>
      </c>
    </row>
    <row r="112" spans="1:38">
      <c r="A112" s="343" t="str">
        <f>"\I:"&amp;A51</f>
        <v>\I:Commercial - Other</v>
      </c>
      <c r="B112" s="343"/>
      <c r="C112" s="353"/>
      <c r="D112" s="353"/>
      <c r="E112" s="339"/>
      <c r="F112" s="566"/>
      <c r="G112" s="339"/>
      <c r="H112" s="349"/>
      <c r="I112" s="349"/>
      <c r="J112" s="349"/>
      <c r="K112" s="357"/>
      <c r="L112" s="358"/>
      <c r="M112" s="358"/>
      <c r="AK112" s="314">
        <f t="shared" si="28"/>
        <v>52</v>
      </c>
    </row>
    <row r="113" spans="1:38">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50" zoomScale="93" workbookViewId="0">
      <selection activeCell="D55" sqref="D55"/>
    </sheetView>
  </sheetViews>
  <sheetFormatPr defaultColWidth="8.85546875" defaultRowHeight="12.75"/>
  <cols>
    <col min="1" max="1" width="52.7109375" style="314" customWidth="1"/>
    <col min="2" max="2" width="19.7109375" style="314" customWidth="1"/>
    <col min="3" max="7" width="11.28515625" style="314" customWidth="1"/>
    <col min="8" max="8" width="10" style="314" customWidth="1"/>
    <col min="9" max="9" width="12" style="314" customWidth="1"/>
    <col min="10" max="35" width="10" style="314" customWidth="1"/>
    <col min="36" max="36" width="11.7109375" style="314" customWidth="1"/>
    <col min="37" max="40" width="10" style="314" customWidth="1"/>
    <col min="41" max="16384" width="8.85546875" style="314"/>
  </cols>
  <sheetData>
    <row r="1" spans="1:40">
      <c r="A1" s="551" t="s">
        <v>441</v>
      </c>
      <c r="B1" s="800" t="s">
        <v>638</v>
      </c>
      <c r="C1" s="800"/>
      <c r="D1" s="800"/>
      <c r="E1" s="485" t="s">
        <v>639</v>
      </c>
      <c r="F1" s="485"/>
      <c r="G1" s="485"/>
      <c r="H1" s="551"/>
      <c r="I1" s="485"/>
      <c r="J1" s="551"/>
      <c r="K1" s="576"/>
    </row>
    <row r="2" spans="1:40">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c r="A13" s="314" t="s">
        <v>658</v>
      </c>
      <c r="B13" s="551" t="s">
        <v>659</v>
      </c>
      <c r="C13" s="313">
        <v>0.1</v>
      </c>
      <c r="D13" s="313">
        <v>0.1</v>
      </c>
      <c r="E13" s="313">
        <v>0</v>
      </c>
      <c r="F13" s="313">
        <v>0.05</v>
      </c>
      <c r="G13" s="313">
        <v>0.1</v>
      </c>
      <c r="H13" s="313">
        <v>0.1</v>
      </c>
      <c r="I13" s="313"/>
      <c r="J13" s="313"/>
      <c r="K13" s="341"/>
      <c r="L13" s="313">
        <f>L12+1</f>
        <v>5</v>
      </c>
    </row>
    <row r="14" spans="1:40">
      <c r="A14" s="485"/>
      <c r="B14" s="313"/>
      <c r="C14" s="313"/>
      <c r="D14" s="313"/>
      <c r="E14" s="313"/>
      <c r="F14" s="313"/>
      <c r="G14" s="313"/>
      <c r="H14" s="313"/>
      <c r="I14" s="313"/>
      <c r="J14" s="313"/>
      <c r="K14" s="341"/>
    </row>
    <row r="15" spans="1:40">
      <c r="A15" s="485" t="s">
        <v>660</v>
      </c>
      <c r="B15" s="313"/>
      <c r="C15" s="319">
        <v>0</v>
      </c>
      <c r="D15" s="319">
        <v>0</v>
      </c>
      <c r="E15" s="556">
        <v>0.1</v>
      </c>
      <c r="F15" s="319">
        <v>0</v>
      </c>
      <c r="G15" s="319">
        <v>0</v>
      </c>
      <c r="H15" s="319">
        <v>0</v>
      </c>
      <c r="I15" s="319">
        <v>0</v>
      </c>
      <c r="J15" s="319">
        <v>0</v>
      </c>
      <c r="K15" s="341"/>
    </row>
    <row r="16" spans="1:40">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51.7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c r="A60" s="343" t="str">
        <f>"\I:"&amp;A43</f>
        <v>\I:Commercial - Cooling</v>
      </c>
      <c r="B60" s="339"/>
    </row>
    <row r="61" spans="1:39">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c r="A79" s="352" t="s">
        <v>704</v>
      </c>
      <c r="F79" s="566"/>
      <c r="I79" s="349"/>
      <c r="J79" s="349"/>
      <c r="L79" s="563">
        <f>SUM(L76)</f>
        <v>1</v>
      </c>
      <c r="M79" s="356">
        <f>SUM(M76:M78)</f>
        <v>9.9379469205889865</v>
      </c>
      <c r="N79" s="356">
        <f>SUM(N76:N78)</f>
        <v>9.894499756529763</v>
      </c>
      <c r="AI79" s="314">
        <f t="shared" si="32"/>
        <v>19</v>
      </c>
      <c r="AL79" s="390">
        <f t="shared" si="30"/>
        <v>0</v>
      </c>
    </row>
    <row r="80" spans="1:39">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c r="A101" s="343" t="str">
        <f>"\I:"&amp;A49</f>
        <v>\I:Commercial - Public Lights</v>
      </c>
      <c r="F101" s="566"/>
      <c r="H101" s="349"/>
      <c r="I101" s="349"/>
      <c r="J101" s="349"/>
      <c r="L101" s="563"/>
      <c r="M101" s="356"/>
      <c r="N101" s="356"/>
      <c r="AI101" s="314">
        <f t="shared" si="32"/>
        <v>41</v>
      </c>
      <c r="AL101" s="390">
        <f t="shared" si="30"/>
        <v>0</v>
      </c>
      <c r="AM101" s="390"/>
    </row>
    <row r="102" spans="1:39">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c r="A111" s="352" t="s">
        <v>704</v>
      </c>
      <c r="F111" s="566"/>
      <c r="H111" s="349"/>
      <c r="I111" s="349"/>
      <c r="J111" s="349"/>
      <c r="L111" s="563"/>
      <c r="M111" s="356"/>
      <c r="N111" s="356"/>
      <c r="AI111" s="314">
        <f t="shared" si="32"/>
        <v>51</v>
      </c>
      <c r="AL111" s="390">
        <f t="shared" si="30"/>
        <v>0</v>
      </c>
      <c r="AM111" s="390"/>
    </row>
    <row r="112" spans="1:39">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39" zoomScale="73" workbookViewId="0">
      <selection activeCell="D55" sqref="D55"/>
    </sheetView>
  </sheetViews>
  <sheetFormatPr defaultColWidth="8.85546875" defaultRowHeight="12.75"/>
  <cols>
    <col min="1" max="1" width="52.7109375" customWidth="1"/>
    <col min="2" max="2" width="40.28515625" customWidth="1"/>
    <col min="3" max="3" width="20.7109375" customWidth="1"/>
    <col min="4" max="4" width="15.85546875" customWidth="1"/>
    <col min="5" max="6" width="10" customWidth="1"/>
    <col min="7" max="7" width="13.42578125" customWidth="1"/>
    <col min="8" max="8" width="10" customWidth="1"/>
    <col min="9" max="9" width="12" customWidth="1"/>
    <col min="10" max="37" width="10" customWidth="1"/>
    <col min="38" max="38" width="11.7109375" customWidth="1"/>
    <col min="39" max="42" width="10" customWidth="1"/>
  </cols>
  <sheetData>
    <row r="1" spans="1:42" s="307" customFormat="1" ht="15.75">
      <c r="A1" s="490" t="s">
        <v>441</v>
      </c>
      <c r="B1" s="794" t="s">
        <v>638</v>
      </c>
      <c r="C1" s="794"/>
      <c r="D1" s="794"/>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52.5"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5">
      <c r="A79" s="352" t="s">
        <v>704</v>
      </c>
      <c r="F79" s="382"/>
      <c r="I79" s="349"/>
      <c r="J79" s="349"/>
      <c r="L79" s="359"/>
      <c r="M79" s="356"/>
      <c r="N79" s="356"/>
      <c r="P79" s="479"/>
      <c r="AK79" s="314">
        <f t="shared" si="26"/>
        <v>19</v>
      </c>
      <c r="AN79" s="389">
        <f t="shared" si="31"/>
        <v>0</v>
      </c>
    </row>
    <row r="80" spans="1:41" ht="1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5">
      <c r="A101" s="343" t="str">
        <f>"\I:"&amp;A49</f>
        <v>\I:Commercial - Public Lights</v>
      </c>
      <c r="F101" s="382"/>
      <c r="H101" s="349"/>
      <c r="I101" s="349"/>
      <c r="J101" s="349"/>
      <c r="L101" s="359"/>
      <c r="M101" s="356"/>
      <c r="N101" s="356"/>
      <c r="P101" s="479"/>
      <c r="AK101" s="314">
        <f t="shared" si="26"/>
        <v>41</v>
      </c>
      <c r="AN101" s="389"/>
      <c r="AO101" s="389"/>
    </row>
    <row r="102" spans="1:41" ht="1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5">
      <c r="A109" s="343" t="str">
        <f>"\I:"&amp;A50</f>
        <v>\I:Commercial - Public Water</v>
      </c>
      <c r="B109" s="343"/>
      <c r="D109" s="430"/>
      <c r="F109" s="382"/>
      <c r="H109" s="349"/>
      <c r="I109" s="349"/>
      <c r="J109" s="349"/>
      <c r="L109" s="359"/>
      <c r="M109" s="356"/>
      <c r="N109" s="356"/>
      <c r="P109" s="479"/>
      <c r="AK109" s="314">
        <f t="shared" si="26"/>
        <v>49</v>
      </c>
      <c r="AN109" s="389"/>
      <c r="AO109" s="389"/>
    </row>
    <row r="110" spans="1:41"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5">
      <c r="A111" s="352" t="s">
        <v>704</v>
      </c>
      <c r="F111" s="382"/>
      <c r="H111" s="349"/>
      <c r="I111" s="349"/>
      <c r="J111" s="349"/>
      <c r="L111" s="359"/>
      <c r="M111" s="356"/>
      <c r="N111" s="356"/>
      <c r="P111" s="479"/>
      <c r="AK111" s="314">
        <f t="shared" si="26"/>
        <v>51</v>
      </c>
      <c r="AN111" s="389"/>
      <c r="AO111" s="389"/>
    </row>
    <row r="112" spans="1:41" ht="1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2578125" defaultRowHeight="11.25"/>
  <cols>
    <col min="1" max="1" width="12.42578125" style="304" customWidth="1"/>
    <col min="2" max="2" width="11.42578125" style="304" customWidth="1"/>
    <col min="3" max="3" width="14.7109375" style="304" customWidth="1"/>
    <col min="4" max="4" width="44.28515625" style="304" customWidth="1"/>
    <col min="5" max="5" width="10.140625" style="304" customWidth="1"/>
    <col min="6" max="6" width="28.7109375" style="304" customWidth="1"/>
    <col min="7" max="16384" width="11.42578125" style="304"/>
  </cols>
  <sheetData>
    <row r="1" spans="1:13">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c r="A7" s="304" t="s">
        <v>709</v>
      </c>
      <c r="B7" s="303" t="s">
        <v>710</v>
      </c>
      <c r="C7" s="362" t="s">
        <v>711</v>
      </c>
      <c r="D7" s="303" t="s">
        <v>712</v>
      </c>
      <c r="E7" s="303" t="s">
        <v>713</v>
      </c>
      <c r="F7" s="303" t="s">
        <v>714</v>
      </c>
      <c r="G7" s="303" t="s">
        <v>715</v>
      </c>
    </row>
    <row r="8" spans="1:13">
      <c r="A8" s="304" t="s">
        <v>709</v>
      </c>
      <c r="B8" s="303" t="s">
        <v>1439</v>
      </c>
      <c r="C8" s="362"/>
      <c r="D8" s="303"/>
      <c r="E8" s="303"/>
      <c r="F8" s="303"/>
      <c r="G8" s="303"/>
    </row>
    <row r="9" spans="1:13">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c r="A25" s="304" t="str">
        <f t="shared" ca="1" si="5"/>
        <v>*</v>
      </c>
      <c r="B25" s="363" t="str">
        <f t="shared" ca="1" si="6"/>
        <v/>
      </c>
      <c r="C25" s="304" t="str">
        <f t="shared" ca="1" si="7"/>
        <v/>
      </c>
      <c r="D25" s="304" t="str">
        <f t="shared" ca="1" si="8"/>
        <v/>
      </c>
      <c r="E25" s="363" t="str">
        <f t="shared" ca="1" si="9"/>
        <v/>
      </c>
      <c r="F25" s="363" t="str">
        <f t="shared" ca="1" si="10"/>
        <v/>
      </c>
    </row>
    <row r="26" spans="1:13">
      <c r="A26" s="304" t="str">
        <f t="shared" ca="1" si="5"/>
        <v>*</v>
      </c>
      <c r="B26" s="363" t="str">
        <f t="shared" ca="1" si="6"/>
        <v/>
      </c>
      <c r="C26" s="304" t="str">
        <f t="shared" ca="1" si="7"/>
        <v/>
      </c>
      <c r="D26" s="304" t="str">
        <f t="shared" ca="1" si="8"/>
        <v/>
      </c>
      <c r="E26" s="363" t="str">
        <f t="shared" ca="1" si="9"/>
        <v/>
      </c>
      <c r="F26" s="363" t="str">
        <f t="shared" ca="1" si="10"/>
        <v/>
      </c>
    </row>
    <row r="27" spans="1:13">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c r="A32" s="304" t="str">
        <f t="shared" ca="1" si="5"/>
        <v>*</v>
      </c>
      <c r="B32" s="363" t="str">
        <f t="shared" ca="1" si="6"/>
        <v/>
      </c>
      <c r="C32" s="304" t="str">
        <f t="shared" ca="1" si="7"/>
        <v/>
      </c>
      <c r="D32" s="304" t="str">
        <f t="shared" ca="1" si="8"/>
        <v/>
      </c>
      <c r="E32" s="363" t="str">
        <f t="shared" ca="1" si="9"/>
        <v/>
      </c>
      <c r="F32" s="363" t="str">
        <f t="shared" ca="1" si="10"/>
        <v/>
      </c>
    </row>
    <row r="33" spans="1:6">
      <c r="A33" s="304" t="str">
        <f t="shared" ca="1" si="5"/>
        <v>*</v>
      </c>
      <c r="B33" s="363" t="str">
        <f t="shared" ca="1" si="6"/>
        <v/>
      </c>
      <c r="C33" s="304" t="str">
        <f t="shared" ca="1" si="7"/>
        <v/>
      </c>
      <c r="D33" s="304" t="str">
        <f t="shared" ca="1" si="8"/>
        <v/>
      </c>
      <c r="E33" s="363" t="str">
        <f t="shared" ca="1" si="9"/>
        <v/>
      </c>
      <c r="F33" s="363" t="str">
        <f t="shared" ca="1" si="10"/>
        <v/>
      </c>
    </row>
    <row r="34" spans="1:6">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c r="A37" s="304" t="str">
        <f t="shared" ca="1" si="5"/>
        <v>*</v>
      </c>
      <c r="B37" s="363" t="str">
        <f t="shared" ca="1" si="6"/>
        <v/>
      </c>
      <c r="C37" s="304" t="str">
        <f t="shared" ca="1" si="7"/>
        <v/>
      </c>
      <c r="D37" s="304" t="str">
        <f t="shared" ca="1" si="8"/>
        <v/>
      </c>
      <c r="E37" s="363" t="str">
        <f t="shared" ca="1" si="9"/>
        <v/>
      </c>
      <c r="F37" s="363" t="str">
        <f t="shared" ca="1" si="10"/>
        <v/>
      </c>
    </row>
    <row r="38" spans="1:6">
      <c r="A38" s="304" t="str">
        <f t="shared" ca="1" si="5"/>
        <v>*</v>
      </c>
      <c r="B38" s="363" t="str">
        <f t="shared" ca="1" si="6"/>
        <v/>
      </c>
      <c r="C38" s="304" t="str">
        <f t="shared" ca="1" si="7"/>
        <v/>
      </c>
      <c r="D38" s="304" t="str">
        <f t="shared" ca="1" si="8"/>
        <v/>
      </c>
      <c r="E38" s="363" t="str">
        <f t="shared" ca="1" si="9"/>
        <v/>
      </c>
      <c r="F38" s="363" t="str">
        <f t="shared" ca="1" si="10"/>
        <v/>
      </c>
    </row>
    <row r="39" spans="1:6">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c r="A45" s="304" t="str">
        <f t="shared" ca="1" si="5"/>
        <v>*</v>
      </c>
      <c r="B45" s="363" t="str">
        <f t="shared" ca="1" si="6"/>
        <v/>
      </c>
      <c r="C45" s="304" t="str">
        <f t="shared" ca="1" si="7"/>
        <v/>
      </c>
      <c r="D45" s="304" t="str">
        <f t="shared" ca="1" si="8"/>
        <v/>
      </c>
      <c r="E45" s="363" t="str">
        <f t="shared" ca="1" si="9"/>
        <v/>
      </c>
      <c r="F45" s="363" t="str">
        <f t="shared" ca="1" si="10"/>
        <v/>
      </c>
    </row>
    <row r="46" spans="1:6">
      <c r="A46" s="304" t="str">
        <f t="shared" ca="1" si="5"/>
        <v>*</v>
      </c>
      <c r="B46" s="363" t="str">
        <f t="shared" ca="1" si="6"/>
        <v/>
      </c>
      <c r="C46" s="304" t="str">
        <f t="shared" ca="1" si="7"/>
        <v/>
      </c>
      <c r="D46" s="304" t="str">
        <f t="shared" ca="1" si="8"/>
        <v/>
      </c>
      <c r="E46" s="363" t="str">
        <f t="shared" ca="1" si="9"/>
        <v/>
      </c>
      <c r="F46" s="363" t="str">
        <f t="shared" ca="1" si="10"/>
        <v/>
      </c>
    </row>
    <row r="47" spans="1:6">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c r="A49" s="304" t="str">
        <f t="shared" ca="1" si="5"/>
        <v>*</v>
      </c>
      <c r="B49" s="363" t="str">
        <f t="shared" ca="1" si="6"/>
        <v/>
      </c>
      <c r="C49" s="304" t="str">
        <f t="shared" ca="1" si="7"/>
        <v/>
      </c>
      <c r="D49" s="304" t="str">
        <f t="shared" ca="1" si="8"/>
        <v/>
      </c>
      <c r="E49" s="363" t="str">
        <f t="shared" ca="1" si="9"/>
        <v/>
      </c>
      <c r="F49" s="363" t="str">
        <f t="shared" ca="1" si="10"/>
        <v/>
      </c>
    </row>
    <row r="50" spans="1:6">
      <c r="A50" s="304" t="str">
        <f t="shared" ca="1" si="5"/>
        <v>*</v>
      </c>
      <c r="B50" s="363" t="str">
        <f t="shared" ca="1" si="6"/>
        <v/>
      </c>
      <c r="C50" s="304" t="str">
        <f t="shared" ca="1" si="7"/>
        <v/>
      </c>
      <c r="D50" s="304" t="str">
        <f t="shared" ca="1" si="8"/>
        <v/>
      </c>
      <c r="E50" s="363" t="str">
        <f t="shared" ca="1" si="9"/>
        <v/>
      </c>
      <c r="F50" s="363" t="str">
        <f t="shared" ca="1" si="10"/>
        <v/>
      </c>
    </row>
    <row r="51" spans="1:6">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c r="A58" s="304" t="str">
        <f t="shared" ca="1" si="5"/>
        <v>*</v>
      </c>
      <c r="B58" s="363" t="str">
        <f t="shared" ca="1" si="6"/>
        <v/>
      </c>
      <c r="C58" s="304" t="str">
        <f t="shared" ca="1" si="7"/>
        <v/>
      </c>
      <c r="D58" s="304" t="str">
        <f t="shared" ca="1" si="8"/>
        <v/>
      </c>
      <c r="E58" s="363" t="str">
        <f t="shared" ca="1" si="9"/>
        <v/>
      </c>
      <c r="F58" s="363" t="str">
        <f t="shared" ca="1" si="10"/>
        <v/>
      </c>
    </row>
    <row r="59" spans="1:6">
      <c r="A59" s="304" t="str">
        <f t="shared" ca="1" si="5"/>
        <v>*</v>
      </c>
      <c r="B59" s="363" t="str">
        <f t="shared" ca="1" si="6"/>
        <v/>
      </c>
      <c r="C59" s="304" t="str">
        <f t="shared" ca="1" si="7"/>
        <v/>
      </c>
      <c r="D59" s="304" t="str">
        <f t="shared" ca="1" si="8"/>
        <v/>
      </c>
      <c r="E59" s="363" t="str">
        <f t="shared" ca="1" si="9"/>
        <v/>
      </c>
      <c r="F59" s="363" t="str">
        <f t="shared" ca="1" si="10"/>
        <v/>
      </c>
    </row>
    <row r="60" spans="1:6">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c r="A66" s="304" t="str">
        <f t="shared" ca="1" si="5"/>
        <v>*</v>
      </c>
      <c r="B66" s="363" t="str">
        <f t="shared" ca="1" si="6"/>
        <v/>
      </c>
      <c r="C66" s="304" t="str">
        <f t="shared" ca="1" si="7"/>
        <v/>
      </c>
      <c r="D66" s="304" t="str">
        <f t="shared" ca="1" si="8"/>
        <v/>
      </c>
      <c r="E66" s="363" t="str">
        <f t="shared" ca="1" si="9"/>
        <v/>
      </c>
      <c r="F66" s="363" t="str">
        <f t="shared" ca="1" si="10"/>
        <v/>
      </c>
    </row>
    <row r="67" spans="1:6">
      <c r="A67" s="304" t="str">
        <f t="shared" ca="1" si="5"/>
        <v>*</v>
      </c>
      <c r="B67" s="363" t="str">
        <f t="shared" ca="1" si="6"/>
        <v/>
      </c>
      <c r="C67" s="304" t="str">
        <f t="shared" ca="1" si="7"/>
        <v/>
      </c>
      <c r="D67" s="304" t="str">
        <f t="shared" ca="1" si="8"/>
        <v/>
      </c>
      <c r="E67" s="363" t="str">
        <f t="shared" ca="1" si="9"/>
        <v/>
      </c>
      <c r="F67" s="363" t="str">
        <f t="shared" ca="1" si="10"/>
        <v/>
      </c>
    </row>
    <row r="68" spans="1:6">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c r="A70" s="304" t="str">
        <f t="shared" ca="1" si="5"/>
        <v>*</v>
      </c>
      <c r="B70" s="363" t="str">
        <f ca="1">IF(A70="*","","T")</f>
        <v/>
      </c>
      <c r="C70" s="304" t="str">
        <f t="shared" ca="1" si="7"/>
        <v/>
      </c>
      <c r="D70" s="304" t="str">
        <f t="shared" ca="1" si="8"/>
        <v/>
      </c>
      <c r="E70" s="363" t="str">
        <f t="shared" ca="1" si="11"/>
        <v/>
      </c>
      <c r="F70" s="363" t="str">
        <f t="shared" ca="1" si="12"/>
        <v/>
      </c>
    </row>
    <row r="71" spans="1:6">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3" r:id="rId3" name="cmdCheckItemsSheet">
          <controlPr defaultSize="0" autoLine="0" r:id="rId4">
            <anchor moveWithCells="1">
              <from>
                <xdr:col>0</xdr:col>
                <xdr:colOff>9525</xdr:colOff>
                <xdr:row>85</xdr:row>
                <xdr:rowOff>0</xdr:rowOff>
              </from>
              <to>
                <xdr:col>1</xdr:col>
                <xdr:colOff>0</xdr:colOff>
                <xdr:row>86</xdr:row>
                <xdr:rowOff>95250</xdr:rowOff>
              </to>
            </anchor>
          </controlPr>
        </control>
      </mc:Choice>
      <mc:Fallback>
        <control shapeId="1221633" r:id="rId3" name="cmdCheckItemsSheet"/>
      </mc:Fallback>
    </mc:AlternateContent>
    <mc:AlternateContent xmlns:mc="http://schemas.openxmlformats.org/markup-compatibility/2006">
      <mc:Choice Requires="x14">
        <control shapeId="1221634" r:id="rId5" name="cmdSpecifyComponent">
          <controlPr defaultSize="0" autoLine="0" r:id="rId6">
            <anchor moveWithCells="1">
              <from>
                <xdr:col>1</xdr:col>
                <xdr:colOff>9525</xdr:colOff>
                <xdr:row>85</xdr:row>
                <xdr:rowOff>0</xdr:rowOff>
              </from>
              <to>
                <xdr:col>2</xdr:col>
                <xdr:colOff>0</xdr:colOff>
                <xdr:row>86</xdr:row>
                <xdr:rowOff>95250</xdr:rowOff>
              </to>
            </anchor>
          </controlPr>
        </control>
      </mc:Choice>
      <mc:Fallback>
        <control shapeId="1221634" r:id="rId5" name="cmdSpecifyComponent"/>
      </mc:Fallback>
    </mc:AlternateContent>
    <mc:AlternateContent xmlns:mc="http://schemas.openxmlformats.org/markup-compatibility/2006">
      <mc:Choice Requires="x14">
        <control shapeId="1221635" r:id="rId7" name="cmdSpecifyUnits">
          <controlPr defaultSize="0" autoLine="0" r:id="rId8">
            <anchor moveWithCells="1">
              <from>
                <xdr:col>4</xdr:col>
                <xdr:colOff>9525</xdr:colOff>
                <xdr:row>85</xdr:row>
                <xdr:rowOff>0</xdr:rowOff>
              </from>
              <to>
                <xdr:col>5</xdr:col>
                <xdr:colOff>0</xdr:colOff>
                <xdr:row>86</xdr:row>
                <xdr:rowOff>95250</xdr:rowOff>
              </to>
            </anchor>
          </controlPr>
        </control>
      </mc:Choice>
      <mc:Fallback>
        <control shapeId="1221635" r:id="rId7" name="cmdSpecifyUnits"/>
      </mc:Fallback>
    </mc:AlternateContent>
    <mc:AlternateContent xmlns:mc="http://schemas.openxmlformats.org/markup-compatibility/2006">
      <mc:Choice Requires="x14">
        <control shapeId="1221636" r:id="rId9" name="cmdSpecifySets">
          <controlPr defaultSize="0" autoLine="0" r:id="rId10">
            <anchor moveWithCells="1">
              <from>
                <xdr:col>5</xdr:col>
                <xdr:colOff>9525</xdr:colOff>
                <xdr:row>85</xdr:row>
                <xdr:rowOff>0</xdr:rowOff>
              </from>
              <to>
                <xdr:col>6</xdr:col>
                <xdr:colOff>0</xdr:colOff>
                <xdr:row>86</xdr:row>
                <xdr:rowOff>95250</xdr:rowOff>
              </to>
            </anchor>
          </controlPr>
        </control>
      </mc:Choice>
      <mc:Fallback>
        <control shapeId="1221636" r:id="rId9" name="cmdSpecifySets"/>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2578125" defaultRowHeight="11.25"/>
  <cols>
    <col min="1" max="1" width="12.42578125" style="304" customWidth="1"/>
    <col min="2" max="2" width="11.42578125" style="304" customWidth="1"/>
    <col min="3" max="3" width="11" style="304" customWidth="1"/>
    <col min="4" max="4" width="44.28515625" style="304" customWidth="1"/>
    <col min="5" max="5" width="10.140625" style="304" customWidth="1"/>
    <col min="6" max="6" width="28.7109375" style="304" customWidth="1"/>
    <col min="7" max="16384" width="11.42578125" style="304"/>
  </cols>
  <sheetData>
    <row r="1" spans="1:9">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c r="A7" s="304" t="s">
        <v>709</v>
      </c>
      <c r="B7" s="303" t="s">
        <v>710</v>
      </c>
      <c r="C7" s="362" t="s">
        <v>711</v>
      </c>
      <c r="D7" s="303" t="s">
        <v>712</v>
      </c>
      <c r="E7" s="303" t="s">
        <v>713</v>
      </c>
      <c r="F7" s="303" t="s">
        <v>714</v>
      </c>
      <c r="G7" s="303" t="s">
        <v>715</v>
      </c>
    </row>
    <row r="8" spans="1:9">
      <c r="A8" s="304" t="s">
        <v>709</v>
      </c>
      <c r="B8" s="303" t="s">
        <v>716</v>
      </c>
      <c r="C8" s="362"/>
      <c r="D8" s="303"/>
      <c r="E8" s="303"/>
      <c r="F8" s="303"/>
      <c r="G8" s="303"/>
    </row>
    <row r="9" spans="1:9">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c r="A24" s="304" t="str">
        <f>IF(LEFT(COM_N_2012!A67,2)="\I","*","")</f>
        <v>*</v>
      </c>
      <c r="B24" s="363" t="str">
        <f t="shared" si="6"/>
        <v/>
      </c>
      <c r="C24" s="304" t="str">
        <f>IF(A24="*","",COM_N_2012!B67)</f>
        <v/>
      </c>
      <c r="D24" s="304" t="str">
        <f>IF(A24="*","",COM_N_2012!A67)</f>
        <v/>
      </c>
      <c r="E24" s="363" t="str">
        <f t="shared" si="4"/>
        <v/>
      </c>
      <c r="F24" s="363" t="str">
        <f t="shared" si="5"/>
        <v/>
      </c>
    </row>
    <row r="25" spans="1:6">
      <c r="A25" s="304" t="str">
        <f>IF(LEFT(COM_N_2012!A68,2)="\I","*","")</f>
        <v>*</v>
      </c>
      <c r="B25" s="363" t="str">
        <f t="shared" si="6"/>
        <v/>
      </c>
      <c r="C25" s="304" t="str">
        <f>IF(A25="*","",COM_N_2012!B68)</f>
        <v/>
      </c>
      <c r="D25" s="304" t="str">
        <f>IF(A25="*","",COM_N_2012!A68)</f>
        <v/>
      </c>
      <c r="E25" s="363" t="str">
        <f t="shared" si="4"/>
        <v/>
      </c>
      <c r="F25" s="363" t="str">
        <f t="shared" si="5"/>
        <v/>
      </c>
    </row>
    <row r="26" spans="1:6">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c r="A32" s="304" t="str">
        <f>IF(LEFT(COM_N_2012!A75,2)="\I","*","")</f>
        <v>*</v>
      </c>
      <c r="B32" s="363" t="str">
        <f t="shared" si="6"/>
        <v/>
      </c>
      <c r="C32" s="304" t="str">
        <f>IF(A32="*","",COM_N_2012!B75)</f>
        <v/>
      </c>
      <c r="D32" s="304" t="str">
        <f>IF(A32="*","",COM_N_2012!A75)</f>
        <v/>
      </c>
      <c r="E32" s="363" t="str">
        <f t="shared" si="10"/>
        <v/>
      </c>
      <c r="F32" s="363" t="str">
        <f t="shared" si="11"/>
        <v/>
      </c>
    </row>
    <row r="33" spans="1:6">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c r="B35" s="363" t="str">
        <f t="shared" si="12"/>
        <v>T</v>
      </c>
      <c r="C35" s="304" t="str">
        <f>IF(A35="*","",COM_N_2012!B78)</f>
        <v>CNKCOA-E</v>
      </c>
      <c r="D35" s="304" t="str">
        <f>IF(A35="*","",COM_N_2012!A78)</f>
        <v>Commercial - Cooking - Coal - Existing</v>
      </c>
      <c r="E35" s="363" t="str">
        <f t="shared" si="13"/>
        <v>PJ,PJa</v>
      </c>
      <c r="F35" s="363" t="str">
        <f t="shared" si="14"/>
        <v>PRC,DMD,DAYNITE</v>
      </c>
    </row>
    <row r="36" spans="1:6">
      <c r="A36" s="304" t="str">
        <f>IF(LEFT(COM_N_2012!A79,2)="\I","*","")</f>
        <v>*</v>
      </c>
      <c r="B36" s="363" t="str">
        <f t="shared" si="6"/>
        <v/>
      </c>
      <c r="C36" s="304" t="str">
        <f>IF(A36="*","",COM_N_2012!B79)</f>
        <v/>
      </c>
      <c r="D36" s="304" t="str">
        <f>IF(A36="*","",COM_N_2012!A79)</f>
        <v/>
      </c>
      <c r="E36" s="363" t="str">
        <f t="shared" si="10"/>
        <v/>
      </c>
      <c r="F36" s="363" t="str">
        <f t="shared" si="11"/>
        <v/>
      </c>
    </row>
    <row r="37" spans="1:6">
      <c r="A37" s="304" t="str">
        <f>IF(LEFT(COM_N_2012!A80,2)="\I","*","")</f>
        <v>*</v>
      </c>
      <c r="B37" s="363" t="str">
        <f t="shared" si="6"/>
        <v/>
      </c>
      <c r="C37" s="304" t="str">
        <f>IF(A37="*","",COM_N_2012!B80)</f>
        <v/>
      </c>
      <c r="D37" s="304" t="str">
        <f>IF(A37="*","",COM_N_2012!A80)</f>
        <v/>
      </c>
      <c r="E37" s="363" t="str">
        <f t="shared" si="10"/>
        <v/>
      </c>
      <c r="F37" s="363" t="str">
        <f t="shared" si="11"/>
        <v/>
      </c>
    </row>
    <row r="38" spans="1:6">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c r="A44" s="304" t="str">
        <f>IF(LEFT(COM_N_2012!A87,2)="\I","*","")</f>
        <v>*</v>
      </c>
      <c r="B44" s="363" t="str">
        <f t="shared" si="6"/>
        <v/>
      </c>
      <c r="C44" s="304" t="str">
        <f>IF(A44="*","",COM_N_2012!B87)</f>
        <v/>
      </c>
      <c r="D44" s="304" t="str">
        <f>IF(A44="*","",COM_N_2012!A87)</f>
        <v/>
      </c>
      <c r="E44" s="363" t="str">
        <f t="shared" si="10"/>
        <v/>
      </c>
      <c r="F44" s="363" t="str">
        <f t="shared" si="11"/>
        <v/>
      </c>
    </row>
    <row r="45" spans="1:6">
      <c r="A45" s="304" t="str">
        <f>IF(LEFT(COM_N_2012!A88,2)="\I","*","")</f>
        <v>*</v>
      </c>
      <c r="B45" s="363" t="str">
        <f t="shared" si="6"/>
        <v/>
      </c>
      <c r="C45" s="304" t="str">
        <f>IF(A45="*","",COM_N_2012!B88)</f>
        <v/>
      </c>
      <c r="D45" s="304" t="str">
        <f>IF(A45="*","",COM_N_2012!A88)</f>
        <v/>
      </c>
      <c r="E45" s="363" t="str">
        <f t="shared" si="10"/>
        <v/>
      </c>
      <c r="F45" s="363" t="str">
        <f t="shared" si="11"/>
        <v/>
      </c>
    </row>
    <row r="46" spans="1:6">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c r="A48" s="304" t="str">
        <f>IF(LEFT(COM_N_2012!A91,2)="\I","*","")</f>
        <v>*</v>
      </c>
      <c r="B48" s="363" t="str">
        <f t="shared" si="6"/>
        <v/>
      </c>
      <c r="C48" s="304" t="str">
        <f>IF(A48="*","",COM_N_2012!B91)</f>
        <v/>
      </c>
      <c r="D48" s="304" t="str">
        <f>IF(A48="*","",COM_N_2012!A91)</f>
        <v/>
      </c>
      <c r="E48" s="363" t="str">
        <f t="shared" si="10"/>
        <v/>
      </c>
      <c r="F48" s="363" t="str">
        <f t="shared" si="11"/>
        <v/>
      </c>
    </row>
    <row r="49" spans="1:6">
      <c r="A49" s="304" t="str">
        <f>IF(LEFT(COM_N_2012!A92,2)="\I","*","")</f>
        <v>*</v>
      </c>
      <c r="B49" s="363" t="str">
        <f t="shared" si="6"/>
        <v/>
      </c>
      <c r="C49" s="304" t="str">
        <f>IF(A49="*","",COM_N_2012!B92)</f>
        <v/>
      </c>
      <c r="D49" s="304" t="str">
        <f>IF(A49="*","",COM_N_2012!A92)</f>
        <v/>
      </c>
      <c r="E49" s="363" t="str">
        <f t="shared" si="10"/>
        <v/>
      </c>
      <c r="F49" s="363" t="str">
        <f t="shared" si="11"/>
        <v/>
      </c>
    </row>
    <row r="50" spans="1:6">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c r="A57" s="304" t="str">
        <f>IF(LEFT(COM_N_2012!A100,2)="\I","*","")</f>
        <v>*</v>
      </c>
      <c r="B57" s="363" t="str">
        <f t="shared" si="6"/>
        <v/>
      </c>
      <c r="C57" s="304" t="str">
        <f>IF(A57="*","",COM_N_2012!B100)</f>
        <v/>
      </c>
      <c r="D57" s="304" t="str">
        <f>IF(A57="*","",COM_N_2012!A100)</f>
        <v/>
      </c>
      <c r="E57" s="363" t="str">
        <f t="shared" si="10"/>
        <v/>
      </c>
      <c r="F57" s="363" t="str">
        <f t="shared" si="11"/>
        <v/>
      </c>
    </row>
    <row r="58" spans="1:6">
      <c r="A58" s="304" t="str">
        <f>IF(LEFT(COM_N_2012!A101,2)="\I","*","")</f>
        <v>*</v>
      </c>
      <c r="B58" s="363" t="str">
        <f t="shared" si="6"/>
        <v/>
      </c>
      <c r="C58" s="304" t="str">
        <f>IF(A58="*","",COM_N_2012!B101)</f>
        <v/>
      </c>
      <c r="D58" s="304" t="str">
        <f>IF(A58="*","",COM_N_2012!A101)</f>
        <v/>
      </c>
      <c r="E58" s="363" t="str">
        <f t="shared" si="10"/>
        <v/>
      </c>
      <c r="F58" s="363" t="str">
        <f t="shared" si="11"/>
        <v/>
      </c>
    </row>
    <row r="59" spans="1:6">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c r="A65" s="304" t="str">
        <f>IF(LEFT(COM_N_2012!A108,2)="\I","*","")</f>
        <v>*</v>
      </c>
      <c r="B65" s="363" t="str">
        <f t="shared" si="6"/>
        <v/>
      </c>
      <c r="C65" s="304" t="str">
        <f>IF(A65="*","",COM_N_2012!B108)</f>
        <v/>
      </c>
      <c r="D65" s="304" t="str">
        <f>IF(A65="*","",COM_N_2012!A108)</f>
        <v/>
      </c>
      <c r="E65" s="363" t="str">
        <f t="shared" si="18"/>
        <v/>
      </c>
      <c r="F65" s="363" t="str">
        <f t="shared" si="19"/>
        <v/>
      </c>
    </row>
    <row r="66" spans="1:6">
      <c r="A66" s="304" t="str">
        <f>IF(LEFT(COM_N_2012!A109,2)="\I","*","")</f>
        <v>*</v>
      </c>
      <c r="B66" s="363" t="str">
        <f t="shared" si="6"/>
        <v/>
      </c>
      <c r="C66" s="304" t="str">
        <f>IF(A66="*","",COM_N_2012!B109)</f>
        <v/>
      </c>
      <c r="D66" s="304" t="str">
        <f>IF(A66="*","",COM_N_2012!A109)</f>
        <v/>
      </c>
      <c r="E66" s="363" t="str">
        <f t="shared" si="18"/>
        <v/>
      </c>
      <c r="F66" s="363" t="str">
        <f t="shared" si="19"/>
        <v/>
      </c>
    </row>
    <row r="67" spans="1:6">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c r="A68" s="304" t="str">
        <f>IF(LEFT(COM_N_2012!A111,2)="\I","*","")</f>
        <v>*</v>
      </c>
      <c r="B68" s="363" t="str">
        <f t="shared" si="6"/>
        <v/>
      </c>
      <c r="C68" s="304" t="str">
        <f>IF(A68="*","",COM_N_2012!B111)</f>
        <v/>
      </c>
      <c r="D68" s="304" t="str">
        <f>IF(A68="*","",COM_N_2012!A111)</f>
        <v/>
      </c>
      <c r="E68" s="363" t="str">
        <f t="shared" si="18"/>
        <v/>
      </c>
      <c r="F68" s="363" t="str">
        <f t="shared" si="19"/>
        <v/>
      </c>
    </row>
    <row r="69" spans="1:6">
      <c r="A69" s="304" t="str">
        <f>IF(LEFT(COM_N_2012!A112,2)="\I","*","")</f>
        <v>*</v>
      </c>
      <c r="B69" s="363" t="str">
        <f t="shared" si="6"/>
        <v/>
      </c>
      <c r="C69" s="304" t="str">
        <f>IF(A69="*","",COM_N_2012!B112)</f>
        <v/>
      </c>
      <c r="D69" s="304" t="str">
        <f>IF(A69="*","",COM_N_2012!A112)</f>
        <v/>
      </c>
      <c r="E69" s="363" t="str">
        <f t="shared" si="18"/>
        <v/>
      </c>
      <c r="F69" s="363" t="str">
        <f t="shared" si="19"/>
        <v/>
      </c>
    </row>
    <row r="70" spans="1:6">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c r="A77" s="304" t="str">
        <f>IF(LEFT(COM_N_2012!A120,2)="\I","*","")</f>
        <v>*</v>
      </c>
      <c r="B77" s="363" t="str">
        <f t="shared" si="6"/>
        <v/>
      </c>
      <c r="C77" s="304" t="str">
        <f>IF(A77="*","",COM_N_2012!B120)</f>
        <v/>
      </c>
      <c r="D77" s="304" t="str">
        <f>IF(A77="*","",COM_N_2012!A120)</f>
        <v/>
      </c>
      <c r="E77" s="363" t="str">
        <f t="shared" si="18"/>
        <v/>
      </c>
      <c r="F77" s="363" t="str">
        <f t="shared" si="19"/>
        <v/>
      </c>
    </row>
    <row r="78" spans="1:6">
      <c r="A78" s="304" t="str">
        <f>IF(LEFT(COM_N_2012!A121,2)="\I","*","")</f>
        <v>*</v>
      </c>
      <c r="B78" s="363"/>
      <c r="E78" s="363"/>
      <c r="F78" s="363"/>
    </row>
    <row r="79" spans="1:6">
      <c r="A79" s="304" t="str">
        <f>IF(LEFT(COM_N_2012!A122,2)="\I","*","")</f>
        <v/>
      </c>
      <c r="B79" s="363"/>
      <c r="E79" s="363"/>
      <c r="F79" s="363"/>
    </row>
    <row r="80" spans="1:6">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69" r:id="rId3" name="cmdCheckItemsSheet">
          <controlPr defaultSize="0" autoLine="0" r:id="rId4">
            <anchor moveWithCells="1">
              <from>
                <xdr:col>0</xdr:col>
                <xdr:colOff>9525</xdr:colOff>
                <xdr:row>25</xdr:row>
                <xdr:rowOff>0</xdr:rowOff>
              </from>
              <to>
                <xdr:col>1</xdr:col>
                <xdr:colOff>0</xdr:colOff>
                <xdr:row>26</xdr:row>
                <xdr:rowOff>95250</xdr:rowOff>
              </to>
            </anchor>
          </controlPr>
        </control>
      </mc:Choice>
      <mc:Fallback>
        <control shapeId="7169" r:id="rId3" name="cmdCheckItemsSheet"/>
      </mc:Fallback>
    </mc:AlternateContent>
    <mc:AlternateContent xmlns:mc="http://schemas.openxmlformats.org/markup-compatibility/2006">
      <mc:Choice Requires="x14">
        <control shapeId="7170" r:id="rId5" name="cmdSpecifyComponent">
          <controlPr defaultSize="0" autoLine="0" r:id="rId6">
            <anchor moveWithCells="1">
              <from>
                <xdr:col>1</xdr:col>
                <xdr:colOff>9525</xdr:colOff>
                <xdr:row>25</xdr:row>
                <xdr:rowOff>0</xdr:rowOff>
              </from>
              <to>
                <xdr:col>2</xdr:col>
                <xdr:colOff>0</xdr:colOff>
                <xdr:row>26</xdr:row>
                <xdr:rowOff>95250</xdr:rowOff>
              </to>
            </anchor>
          </controlPr>
        </control>
      </mc:Choice>
      <mc:Fallback>
        <control shapeId="7170" r:id="rId5" name="cmdSpecifyComponent"/>
      </mc:Fallback>
    </mc:AlternateContent>
    <mc:AlternateContent xmlns:mc="http://schemas.openxmlformats.org/markup-compatibility/2006">
      <mc:Choice Requires="x14">
        <control shapeId="7171" r:id="rId7" name="cmdSpecifyUnits">
          <controlPr defaultSize="0" autoLine="0" r:id="rId8">
            <anchor moveWithCells="1">
              <from>
                <xdr:col>4</xdr:col>
                <xdr:colOff>9525</xdr:colOff>
                <xdr:row>25</xdr:row>
                <xdr:rowOff>0</xdr:rowOff>
              </from>
              <to>
                <xdr:col>5</xdr:col>
                <xdr:colOff>0</xdr:colOff>
                <xdr:row>26</xdr:row>
                <xdr:rowOff>95250</xdr:rowOff>
              </to>
            </anchor>
          </controlPr>
        </control>
      </mc:Choice>
      <mc:Fallback>
        <control shapeId="7171" r:id="rId7" name="cmdSpecifyUnits"/>
      </mc:Fallback>
    </mc:AlternateContent>
    <mc:AlternateContent xmlns:mc="http://schemas.openxmlformats.org/markup-compatibility/2006">
      <mc:Choice Requires="x14">
        <control shapeId="7172" r:id="rId9" name="cmdSpecifySets">
          <controlPr defaultSize="0" autoLine="0" r:id="rId10">
            <anchor moveWithCells="1">
              <from>
                <xdr:col>5</xdr:col>
                <xdr:colOff>9525</xdr:colOff>
                <xdr:row>25</xdr:row>
                <xdr:rowOff>0</xdr:rowOff>
              </from>
              <to>
                <xdr:col>6</xdr:col>
                <xdr:colOff>0</xdr:colOff>
                <xdr:row>26</xdr:row>
                <xdr:rowOff>95250</xdr:rowOff>
              </to>
            </anchor>
          </controlPr>
        </control>
      </mc:Choice>
      <mc:Fallback>
        <control shapeId="7172" r:id="rId9" name="cmdSpecifySets"/>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75"/>
  <cols>
    <col min="2" max="2" width="12.5703125" bestFit="1" customWidth="1"/>
    <col min="3" max="3" width="52.8554687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2578125" defaultRowHeight="11.25"/>
  <cols>
    <col min="1" max="1" width="12.140625" style="304" customWidth="1"/>
    <col min="2" max="2" width="12" style="304" customWidth="1"/>
    <col min="3" max="3" width="14.5703125" style="304" customWidth="1"/>
    <col min="4" max="8" width="11.42578125" style="304" customWidth="1"/>
    <col min="9" max="10" width="7.42578125" style="304" customWidth="1"/>
    <col min="11" max="14" width="5.42578125" style="304" customWidth="1"/>
    <col min="15" max="15" width="5.42578125" style="657" customWidth="1"/>
    <col min="16"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COM_2012!$E$59</f>
        <v>3</v>
      </c>
    </row>
    <row r="11" spans="1:50">
      <c r="A11" s="304" t="s">
        <v>709</v>
      </c>
      <c r="B11" s="363" t="s">
        <v>736</v>
      </c>
      <c r="C11" s="363" t="s">
        <v>732</v>
      </c>
      <c r="D11" s="363" t="s">
        <v>463</v>
      </c>
      <c r="E11" s="363" t="s">
        <v>463</v>
      </c>
      <c r="F11" s="363" t="s">
        <v>463</v>
      </c>
      <c r="G11" s="363" t="s">
        <v>463</v>
      </c>
      <c r="H11" s="363" t="s">
        <v>737</v>
      </c>
      <c r="I11" s="368">
        <v>0</v>
      </c>
      <c r="AX11" s="304">
        <f>COM_2012!$F$59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COM_2012!$G$59</f>
        <v>5</v>
      </c>
    </row>
    <row r="14" spans="1:50">
      <c r="A14" s="304" t="s">
        <v>740</v>
      </c>
      <c r="B14" s="363" t="s">
        <v>762</v>
      </c>
      <c r="C14" s="363" t="s">
        <v>732</v>
      </c>
      <c r="D14" s="363" t="s">
        <v>463</v>
      </c>
      <c r="E14" s="363" t="s">
        <v>463</v>
      </c>
      <c r="F14" s="363" t="s">
        <v>463</v>
      </c>
      <c r="G14" s="363" t="s">
        <v>463</v>
      </c>
      <c r="H14" s="363" t="s">
        <v>463</v>
      </c>
      <c r="I14" s="368">
        <v>0</v>
      </c>
      <c r="AX14" s="304">
        <f>COM_2012!I59</f>
        <v>7</v>
      </c>
    </row>
    <row r="15" spans="1:50">
      <c r="A15" s="304" t="s">
        <v>742</v>
      </c>
      <c r="B15" s="363" t="s">
        <v>776</v>
      </c>
      <c r="C15" s="363" t="s">
        <v>732</v>
      </c>
      <c r="D15" s="363" t="s">
        <v>463</v>
      </c>
      <c r="E15" s="363" t="s">
        <v>463</v>
      </c>
      <c r="F15" s="363" t="s">
        <v>463</v>
      </c>
      <c r="G15" s="363" t="s">
        <v>463</v>
      </c>
      <c r="H15" s="363" t="s">
        <v>463</v>
      </c>
      <c r="I15" s="368">
        <v>0</v>
      </c>
      <c r="AX15" s="304">
        <f>COM_2012!J59</f>
        <v>8</v>
      </c>
    </row>
    <row r="16" spans="1:50">
      <c r="A16" s="304" t="s">
        <v>775</v>
      </c>
      <c r="B16" s="363" t="s">
        <v>743</v>
      </c>
      <c r="C16" s="363" t="s">
        <v>732</v>
      </c>
      <c r="D16" s="363" t="s">
        <v>463</v>
      </c>
      <c r="E16" s="363" t="s">
        <v>463</v>
      </c>
      <c r="F16" s="363" t="s">
        <v>463</v>
      </c>
      <c r="G16" s="363" t="s">
        <v>463</v>
      </c>
      <c r="H16" s="363" t="s">
        <v>463</v>
      </c>
      <c r="I16" s="368">
        <v>0</v>
      </c>
      <c r="AX16" s="304">
        <f>COM_2012!$H$59</f>
        <v>6</v>
      </c>
    </row>
    <row r="17" spans="1:49">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193"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8193" r:id="rId3" name="cmdCheckTSandTIDDataSheet"/>
      </mc:Fallback>
    </mc:AlternateContent>
    <mc:AlternateContent xmlns:mc="http://schemas.openxmlformats.org/markup-compatibility/2006">
      <mc:Choice Requires="x14">
        <control shapeId="8194"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8194" r:id="rId5" name="cmdSpecifyParameter"/>
      </mc:Fallback>
    </mc:AlternateContent>
    <mc:AlternateContent xmlns:mc="http://schemas.openxmlformats.org/markup-compatibility/2006">
      <mc:Choice Requires="x14">
        <control shapeId="8195"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8195" r:id="rId7" name="cmdSpecifyArg1"/>
      </mc:Fallback>
    </mc:AlternateContent>
    <mc:AlternateContent xmlns:mc="http://schemas.openxmlformats.org/markup-compatibility/2006">
      <mc:Choice Requires="x14">
        <control shapeId="8196"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8196" r:id="rId9" name="cmdSpecifyArg2"/>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8197" r:id="rId11" name="cmdSpecifyArg3"/>
      </mc:Fallback>
    </mc:AlternateContent>
    <mc:AlternateContent xmlns:mc="http://schemas.openxmlformats.org/markup-compatibility/2006">
      <mc:Choice Requires="x14">
        <control shapeId="8198"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8198" r:id="rId13" name="cmdSpecifyArg4"/>
      </mc:Fallback>
    </mc:AlternateContent>
    <mc:AlternateContent xmlns:mc="http://schemas.openxmlformats.org/markup-compatibility/2006">
      <mc:Choice Requires="x14">
        <control shapeId="8199"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8199" r:id="rId15" name="cmdSpecifyArg5"/>
      </mc:Fallback>
    </mc:AlternateContent>
    <mc:AlternateContent xmlns:mc="http://schemas.openxmlformats.org/markup-compatibility/2006">
      <mc:Choice Requires="x14">
        <control shapeId="8200"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8200" r:id="rId17" name="cmdSpecifyArg6"/>
      </mc:Fallback>
    </mc:AlternateContent>
    <mc:AlternateContent xmlns:mc="http://schemas.openxmlformats.org/markup-compatibility/2006">
      <mc:Choice Requires="x14">
        <control shapeId="8201"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8201" r:id="rId19" name="cmdSpecifyIEOptcode"/>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2578125" defaultRowHeight="11.25"/>
  <cols>
    <col min="1" max="1" width="12.140625" style="304" customWidth="1"/>
    <col min="2" max="2" width="12" style="304" customWidth="1"/>
    <col min="3" max="3" width="15.7109375" style="304" customWidth="1"/>
    <col min="4" max="8" width="11.42578125" style="304" customWidth="1"/>
    <col min="9" max="10" width="7.42578125" style="304" customWidth="1"/>
    <col min="11"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COM_N_2012!$E$59</f>
        <v>3</v>
      </c>
    </row>
    <row r="11" spans="1:50">
      <c r="A11" s="304" t="s">
        <v>709</v>
      </c>
      <c r="B11" s="363" t="s">
        <v>736</v>
      </c>
      <c r="C11" s="363" t="s">
        <v>732</v>
      </c>
      <c r="D11" s="363" t="s">
        <v>463</v>
      </c>
      <c r="E11" s="363" t="s">
        <v>463</v>
      </c>
      <c r="F11" s="363" t="s">
        <v>463</v>
      </c>
      <c r="G11" s="363" t="s">
        <v>463</v>
      </c>
      <c r="H11" s="363" t="s">
        <v>737</v>
      </c>
      <c r="I11" s="368">
        <v>0</v>
      </c>
      <c r="AX11" s="304">
        <f>COM_N_2012!$F$59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COM_N_2012!$G$59</f>
        <v>5</v>
      </c>
    </row>
    <row r="14" spans="1:50">
      <c r="A14" s="304" t="s">
        <v>740</v>
      </c>
      <c r="B14" s="363" t="s">
        <v>762</v>
      </c>
      <c r="C14" s="363" t="s">
        <v>732</v>
      </c>
      <c r="D14" s="363" t="s">
        <v>463</v>
      </c>
      <c r="E14" s="363" t="s">
        <v>463</v>
      </c>
      <c r="F14" s="363" t="s">
        <v>463</v>
      </c>
      <c r="G14" s="363" t="s">
        <v>463</v>
      </c>
      <c r="H14" s="363" t="s">
        <v>463</v>
      </c>
      <c r="I14" s="368">
        <v>0</v>
      </c>
      <c r="AX14" s="304">
        <f>COM_N_2012!I59</f>
        <v>7</v>
      </c>
    </row>
    <row r="15" spans="1:50">
      <c r="A15" s="304" t="s">
        <v>742</v>
      </c>
      <c r="B15" s="363" t="s">
        <v>776</v>
      </c>
      <c r="C15" s="363" t="s">
        <v>732</v>
      </c>
      <c r="D15" s="363" t="s">
        <v>463</v>
      </c>
      <c r="E15" s="363" t="s">
        <v>463</v>
      </c>
      <c r="F15" s="363" t="s">
        <v>463</v>
      </c>
      <c r="G15" s="363" t="s">
        <v>463</v>
      </c>
      <c r="H15" s="363" t="s">
        <v>463</v>
      </c>
      <c r="I15" s="368">
        <v>0</v>
      </c>
      <c r="AX15" s="304">
        <f>COM_N_2012!J59</f>
        <v>8</v>
      </c>
    </row>
    <row r="16" spans="1:50">
      <c r="A16" s="304" t="s">
        <v>775</v>
      </c>
      <c r="B16" s="363" t="s">
        <v>743</v>
      </c>
      <c r="C16" s="363" t="s">
        <v>732</v>
      </c>
      <c r="D16" s="363" t="s">
        <v>463</v>
      </c>
      <c r="E16" s="363" t="s">
        <v>463</v>
      </c>
      <c r="F16" s="363" t="s">
        <v>463</v>
      </c>
      <c r="G16" s="363" t="s">
        <v>463</v>
      </c>
      <c r="H16" s="363" t="s">
        <v>463</v>
      </c>
      <c r="I16" s="368">
        <v>0</v>
      </c>
      <c r="AX16" s="304">
        <f>COM_N_2012!$H$59</f>
        <v>6</v>
      </c>
    </row>
    <row r="17" spans="1:49">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5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2657" r:id="rId3" name="cmdCheckTSandTIDDataSheet"/>
      </mc:Fallback>
    </mc:AlternateContent>
    <mc:AlternateContent xmlns:mc="http://schemas.openxmlformats.org/markup-compatibility/2006">
      <mc:Choice Requires="x14">
        <control shapeId="122265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2658" r:id="rId5" name="cmdSpecifyParameter"/>
      </mc:Fallback>
    </mc:AlternateContent>
    <mc:AlternateContent xmlns:mc="http://schemas.openxmlformats.org/markup-compatibility/2006">
      <mc:Choice Requires="x14">
        <control shapeId="122265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2659" r:id="rId7" name="cmdSpecifyArg1"/>
      </mc:Fallback>
    </mc:AlternateContent>
    <mc:AlternateContent xmlns:mc="http://schemas.openxmlformats.org/markup-compatibility/2006">
      <mc:Choice Requires="x14">
        <control shapeId="122266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2660" r:id="rId9" name="cmdSpecifyArg2"/>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2661" r:id="rId11" name="cmdSpecifyArg3"/>
      </mc:Fallback>
    </mc:AlternateContent>
    <mc:AlternateContent xmlns:mc="http://schemas.openxmlformats.org/markup-compatibility/2006">
      <mc:Choice Requires="x14">
        <control shapeId="122266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2662" r:id="rId13" name="cmdSpecifyArg4"/>
      </mc:Fallback>
    </mc:AlternateContent>
    <mc:AlternateContent xmlns:mc="http://schemas.openxmlformats.org/markup-compatibility/2006">
      <mc:Choice Requires="x14">
        <control shapeId="122266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2663" r:id="rId15" name="cmdSpecifyArg5"/>
      </mc:Fallback>
    </mc:AlternateContent>
    <mc:AlternateContent xmlns:mc="http://schemas.openxmlformats.org/markup-compatibility/2006">
      <mc:Choice Requires="x14">
        <control shapeId="122266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2664" r:id="rId17" name="cmdSpecifyArg6"/>
      </mc:Fallback>
    </mc:AlternateContent>
    <mc:AlternateContent xmlns:mc="http://schemas.openxmlformats.org/markup-compatibility/2006">
      <mc:Choice Requires="x14">
        <control shapeId="122266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2665" r:id="rId19" name="cmdSpecifyIEOptcode"/>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2578125" defaultRowHeight="11.25"/>
  <cols>
    <col min="1" max="1" width="12.140625" style="304" customWidth="1"/>
    <col min="2" max="2" width="12" style="304" customWidth="1"/>
    <col min="3" max="3" width="14.42578125" style="304" customWidth="1"/>
    <col min="4" max="8" width="11.42578125" style="304" customWidth="1"/>
    <col min="9" max="9" width="7.42578125" style="304" customWidth="1"/>
    <col min="10" max="10" width="8.85546875" style="304" customWidth="1"/>
    <col min="11" max="49" width="5.42578125" style="304" customWidth="1"/>
    <col min="50" max="16384" width="11.42578125" style="304"/>
  </cols>
  <sheetData>
    <row r="1" spans="1:52">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74529" r:id="rId3" name="cmdCheckTSandTIDDataSheet"/>
      </mc:Fallback>
    </mc:AlternateContent>
    <mc:AlternateContent xmlns:mc="http://schemas.openxmlformats.org/markup-compatibility/2006">
      <mc:Choice Requires="x14">
        <control shapeId="11745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74530" r:id="rId5" name="cmdSpecifyParameter"/>
      </mc:Fallback>
    </mc:AlternateContent>
    <mc:AlternateContent xmlns:mc="http://schemas.openxmlformats.org/markup-compatibility/2006">
      <mc:Choice Requires="x14">
        <control shapeId="11745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74531" r:id="rId7" name="cmdSpecifyArg1"/>
      </mc:Fallback>
    </mc:AlternateContent>
    <mc:AlternateContent xmlns:mc="http://schemas.openxmlformats.org/markup-compatibility/2006">
      <mc:Choice Requires="x14">
        <control shapeId="11745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74532" r:id="rId9" name="cmdSpecifyArg2"/>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74533" r:id="rId11" name="cmdSpecifyArg3"/>
      </mc:Fallback>
    </mc:AlternateContent>
    <mc:AlternateContent xmlns:mc="http://schemas.openxmlformats.org/markup-compatibility/2006">
      <mc:Choice Requires="x14">
        <control shapeId="11745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74534" r:id="rId13" name="cmdSpecifyArg4"/>
      </mc:Fallback>
    </mc:AlternateContent>
    <mc:AlternateContent xmlns:mc="http://schemas.openxmlformats.org/markup-compatibility/2006">
      <mc:Choice Requires="x14">
        <control shapeId="11745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74535" r:id="rId15" name="cmdSpecifyArg5"/>
      </mc:Fallback>
    </mc:AlternateContent>
    <mc:AlternateContent xmlns:mc="http://schemas.openxmlformats.org/markup-compatibility/2006">
      <mc:Choice Requires="x14">
        <control shapeId="11745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74536" r:id="rId17" name="cmdSpecifyArg6"/>
      </mc:Fallback>
    </mc:AlternateContent>
    <mc:AlternateContent xmlns:mc="http://schemas.openxmlformats.org/markup-compatibility/2006">
      <mc:Choice Requires="x14">
        <control shapeId="11745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74537" r:id="rId19" name="cmdSpecifyIEOptcode"/>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48" width="5.42578125" style="304" customWidth="1"/>
    <col min="49" max="16384" width="11.42578125" style="304"/>
  </cols>
  <sheetData>
    <row r="1" spans="1:51">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0.18015598697730933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0.38015598697730935</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0.5801559869773093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0.78015598697730926</v>
      </c>
      <c r="AM66" s="391">
        <f ca="1">IF($A66="*","",IFERROR(VLOOKUP($C66,COM_N_2017!$B$61:$AJ$122,MATCH(VLOOKUP("*"&amp;$AW66,$A$10:$J$11,$J$9,FALSE)&amp;AM$7,COM_N_2017!$B$58:$AJ$58,0),FALSE),""))</f>
        <v>0.98015598697730932</v>
      </c>
      <c r="AN66" s="391">
        <f ca="1">IF($A66="*","",IFERROR(VLOOKUP($C66,COM_N_2017!$B$61:$AJ$122,MATCH(VLOOKUP("*"&amp;$AW66,$A$10:$J$11,$J$9,FALSE)&amp;AN$7,COM_N_2017!$B$58:$AJ$58,0),FALSE),""))</f>
        <v>1</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0.5</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0.7</v>
      </c>
      <c r="AM68" s="391">
        <f ca="1">IF($A68="*","",IFERROR(VLOOKUP($C68,COM_N_2017!$B$61:$AJ$122,MATCH(VLOOKUP("*"&amp;$AW68,$A$10:$J$11,$J$9,FALSE)&amp;AM$7,COM_N_2017!$B$58:$AJ$58,0),FALSE),""))</f>
        <v>0.9</v>
      </c>
      <c r="AN68" s="391">
        <f ca="1">IF($A68="*","",IFERROR(VLOOKUP($C68,COM_N_2017!$B$61:$AJ$122,MATCH(VLOOKUP("*"&amp;$AW68,$A$10:$J$11,$J$9,FALSE)&amp;AN$7,COM_N_2017!$B$58:$AJ$58,0),FALSE),""))</f>
        <v>1</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0.5</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0.7</v>
      </c>
      <c r="AM69" s="391">
        <f ca="1">IF($A69="*","",IFERROR(VLOOKUP($C69,COM_N_2017!$B$61:$AJ$122,MATCH(VLOOKUP("*"&amp;$AW69,$A$10:$J$11,$J$9,FALSE)&amp;AM$7,COM_N_2017!$B$58:$AJ$58,0),FALSE),""))</f>
        <v>0.9</v>
      </c>
      <c r="AN69" s="391">
        <f ca="1">IF($A69="*","",IFERROR(VLOOKUP($C69,COM_N_2017!$B$61:$AJ$122,MATCH(VLOOKUP("*"&amp;$AW69,$A$10:$J$11,$J$9,FALSE)&amp;AN$7,COM_N_2017!$B$58:$AJ$58,0),FALSE),""))</f>
        <v>1</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0.11385204197097303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0.31385204197097299</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0.51385204197097301</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0.71385204197097296</v>
      </c>
      <c r="AM70" s="391">
        <f ca="1">IF($A70="*","",IFERROR(VLOOKUP($C70,COM_N_2017!$B$61:$AJ$122,MATCH(VLOOKUP("*"&amp;$AW70,$A$10:$J$11,$J$9,FALSE)&amp;AM$7,COM_N_2017!$B$58:$AJ$58,0),FALSE),""))</f>
        <v>0.91385204197097303</v>
      </c>
      <c r="AN70" s="391">
        <f ca="1">IF($A70="*","",IFERROR(VLOOKUP($C70,COM_N_2017!$B$61:$AJ$122,MATCH(VLOOKUP("*"&amp;$AW70,$A$10:$J$11,$J$9,FALSE)&amp;AN$7,COM_N_2017!$B$58:$AJ$58,0),FALSE),""))</f>
        <v>1</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v>
      </c>
      <c r="AM71" s="391">
        <f ca="1">IF($A71="*","",IFERROR(VLOOKUP($C71,COM_N_2017!$B$61:$AJ$122,MATCH(VLOOKUP("*"&amp;$AW71,$A$10:$J$11,$J$9,FALSE)&amp;AM$7,COM_N_2017!$B$58:$AJ$58,0),FALSE),""))</f>
        <v>0</v>
      </c>
      <c r="AN71" s="391">
        <f ca="1">IF($A71="*","",IFERROR(VLOOKUP($C71,COM_N_2017!$B$61:$AJ$122,MATCH(VLOOKUP("*"&amp;$AW71,$A$10:$J$11,$J$9,FALSE)&amp;AN$7,COM_N_2017!$B$58:$AJ$58,0),FALSE),""))</f>
        <v>0</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1"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3681" r:id="rId3" name="cmdCheckTSandTIDDataSheet"/>
      </mc:Fallback>
    </mc:AlternateContent>
    <mc:AlternateContent xmlns:mc="http://schemas.openxmlformats.org/markup-compatibility/2006">
      <mc:Choice Requires="x14">
        <control shapeId="122368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3682" r:id="rId5" name="cmdSpecifyParameter"/>
      </mc:Fallback>
    </mc:AlternateContent>
    <mc:AlternateContent xmlns:mc="http://schemas.openxmlformats.org/markup-compatibility/2006">
      <mc:Choice Requires="x14">
        <control shapeId="122368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3683" r:id="rId7" name="cmdSpecifyArg1"/>
      </mc:Fallback>
    </mc:AlternateContent>
    <mc:AlternateContent xmlns:mc="http://schemas.openxmlformats.org/markup-compatibility/2006">
      <mc:Choice Requires="x14">
        <control shapeId="1223684"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3684" r:id="rId9" name="cmdSpecifyArg2"/>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3685" r:id="rId11" name="cmdSpecifyArg3"/>
      </mc:Fallback>
    </mc:AlternateContent>
    <mc:AlternateContent xmlns:mc="http://schemas.openxmlformats.org/markup-compatibility/2006">
      <mc:Choice Requires="x14">
        <control shapeId="1223686"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3686" r:id="rId13" name="cmdSpecifyArg4"/>
      </mc:Fallback>
    </mc:AlternateContent>
    <mc:AlternateContent xmlns:mc="http://schemas.openxmlformats.org/markup-compatibility/2006">
      <mc:Choice Requires="x14">
        <control shapeId="1223687"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3687" r:id="rId15" name="cmdSpecifyArg5"/>
      </mc:Fallback>
    </mc:AlternateContent>
    <mc:AlternateContent xmlns:mc="http://schemas.openxmlformats.org/markup-compatibility/2006">
      <mc:Choice Requires="x14">
        <control shapeId="1223688"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3688" r:id="rId17" name="cmdSpecifyArg6"/>
      </mc:Fallback>
    </mc:AlternateContent>
    <mc:AlternateContent xmlns:mc="http://schemas.openxmlformats.org/markup-compatibility/2006">
      <mc:Choice Requires="x14">
        <control shapeId="1223689"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3689" r:id="rId19" name="cmdSpecifyIEOptcode"/>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17"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9217" r:id="rId3" name="cmdCheckTIDDataSheet"/>
      </mc:Fallback>
    </mc:AlternateContent>
    <mc:AlternateContent xmlns:mc="http://schemas.openxmlformats.org/markup-compatibility/2006">
      <mc:Choice Requires="x14">
        <control shapeId="9218"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9218" r:id="rId5" name="cmdSpecifyParameter"/>
      </mc:Fallback>
    </mc:AlternateContent>
    <mc:AlternateContent xmlns:mc="http://schemas.openxmlformats.org/markup-compatibility/2006">
      <mc:Choice Requires="x14">
        <control shapeId="9219"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9219" r:id="rId7" name="cmdSpecifyArg1"/>
      </mc:Fallback>
    </mc:AlternateContent>
    <mc:AlternateContent xmlns:mc="http://schemas.openxmlformats.org/markup-compatibility/2006">
      <mc:Choice Requires="x14">
        <control shapeId="9220"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9220" r:id="rId9" name="cmdSpecifyArg2"/>
      </mc:Fallback>
    </mc:AlternateContent>
    <mc:AlternateContent xmlns:mc="http://schemas.openxmlformats.org/markup-compatibility/2006">
      <mc:Choice Requires="x14">
        <control shapeId="9221"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9221" r:id="rId11" name="cmdSpecifyArg3"/>
      </mc:Fallback>
    </mc:AlternateContent>
    <mc:AlternateContent xmlns:mc="http://schemas.openxmlformats.org/markup-compatibility/2006">
      <mc:Choice Requires="x14">
        <control shapeId="9222"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9222" r:id="rId13" name="cmdSpecifyArg4"/>
      </mc:Fallback>
    </mc:AlternateContent>
    <mc:AlternateContent xmlns:mc="http://schemas.openxmlformats.org/markup-compatibility/2006">
      <mc:Choice Requires="x14">
        <control shapeId="9223"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9223" r:id="rId15" name="cmdSpecifyArg5"/>
      </mc:Fallback>
    </mc:AlternateContent>
    <mc:AlternateContent xmlns:mc="http://schemas.openxmlformats.org/markup-compatibility/2006">
      <mc:Choice Requires="x14">
        <control shapeId="9224"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9224" r:id="rId17" name="cmdSpecifyArg6"/>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05"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1224705" r:id="rId3" name="cmdCheckTIDDataSheet"/>
      </mc:Fallback>
    </mc:AlternateContent>
    <mc:AlternateContent xmlns:mc="http://schemas.openxmlformats.org/markup-compatibility/2006">
      <mc:Choice Requires="x14">
        <control shapeId="1224706"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1224706" r:id="rId5" name="cmdSpecifyParameter"/>
      </mc:Fallback>
    </mc:AlternateContent>
    <mc:AlternateContent xmlns:mc="http://schemas.openxmlformats.org/markup-compatibility/2006">
      <mc:Choice Requires="x14">
        <control shapeId="1224707"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1224707" r:id="rId7" name="cmdSpecifyArg1"/>
      </mc:Fallback>
    </mc:AlternateContent>
    <mc:AlternateContent xmlns:mc="http://schemas.openxmlformats.org/markup-compatibility/2006">
      <mc:Choice Requires="x14">
        <control shapeId="1224708"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1224708" r:id="rId9" name="cmdSpecifyArg2"/>
      </mc:Fallback>
    </mc:AlternateContent>
    <mc:AlternateContent xmlns:mc="http://schemas.openxmlformats.org/markup-compatibility/2006">
      <mc:Choice Requires="x14">
        <control shapeId="1224709"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1224709" r:id="rId11" name="cmdSpecifyArg3"/>
      </mc:Fallback>
    </mc:AlternateContent>
    <mc:AlternateContent xmlns:mc="http://schemas.openxmlformats.org/markup-compatibility/2006">
      <mc:Choice Requires="x14">
        <control shapeId="1224710"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1224710" r:id="rId13" name="cmdSpecifyArg4"/>
      </mc:Fallback>
    </mc:AlternateContent>
    <mc:AlternateContent xmlns:mc="http://schemas.openxmlformats.org/markup-compatibility/2006">
      <mc:Choice Requires="x14">
        <control shapeId="1224711"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1224711" r:id="rId15" name="cmdSpecifyArg5"/>
      </mc:Fallback>
    </mc:AlternateContent>
    <mc:AlternateContent xmlns:mc="http://schemas.openxmlformats.org/markup-compatibility/2006">
      <mc:Choice Requires="x14">
        <control shapeId="1224712"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1224712" r:id="rId17" name="cmdSpecifyArg6"/>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2578125" defaultRowHeight="11.25"/>
  <cols>
    <col min="1" max="1" width="12.42578125" style="304" customWidth="1"/>
    <col min="2" max="2" width="11.42578125" style="304" customWidth="1"/>
    <col min="3" max="3" width="11" style="304" customWidth="1"/>
    <col min="4" max="4" width="27.42578125" style="304" customWidth="1"/>
    <col min="5" max="5" width="10.140625" style="304" customWidth="1"/>
    <col min="6" max="6" width="28.7109375" style="304" customWidth="1"/>
    <col min="7" max="16384" width="11.42578125" style="304"/>
  </cols>
  <sheetData>
    <row r="1" spans="1:8">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c r="A7" s="304" t="s">
        <v>709</v>
      </c>
      <c r="B7" s="303" t="s">
        <v>710</v>
      </c>
      <c r="C7" s="362" t="s">
        <v>711</v>
      </c>
      <c r="D7" s="303" t="s">
        <v>712</v>
      </c>
      <c r="E7" s="303" t="s">
        <v>713</v>
      </c>
      <c r="F7" s="303" t="s">
        <v>714</v>
      </c>
      <c r="G7" s="303" t="s">
        <v>715</v>
      </c>
    </row>
    <row r="8" spans="1:8">
      <c r="A8" s="304" t="s">
        <v>709</v>
      </c>
      <c r="B8" s="303" t="s">
        <v>753</v>
      </c>
      <c r="C8" s="362"/>
      <c r="D8" s="303"/>
      <c r="E8" s="303"/>
      <c r="F8" s="303"/>
      <c r="G8" s="303"/>
    </row>
    <row r="9" spans="1:8">
      <c r="B9" s="363" t="s">
        <v>754</v>
      </c>
      <c r="C9" s="304" t="str">
        <f>COM_2012!B43</f>
        <v>CEC</v>
      </c>
      <c r="D9" s="304" t="str">
        <f>COM_2012!A43</f>
        <v>Commercial - Cooling</v>
      </c>
      <c r="E9" s="363" t="s">
        <v>647</v>
      </c>
      <c r="F9" s="363" t="s">
        <v>755</v>
      </c>
    </row>
    <row r="10" spans="1:8">
      <c r="B10" s="363" t="s">
        <v>754</v>
      </c>
      <c r="C10" s="304" t="str">
        <f>COM_2012!B44</f>
        <v>CEH</v>
      </c>
      <c r="D10" s="304" t="str">
        <f>COM_2012!A44</f>
        <v>Commercial - Space Heating</v>
      </c>
      <c r="E10" s="363" t="s">
        <v>647</v>
      </c>
      <c r="F10" s="363" t="s">
        <v>755</v>
      </c>
    </row>
    <row r="11" spans="1:8">
      <c r="B11" s="363" t="s">
        <v>754</v>
      </c>
      <c r="C11" s="304" t="str">
        <f>COM_2012!B45</f>
        <v>CEK</v>
      </c>
      <c r="D11" s="304" t="str">
        <f>COM_2012!A45</f>
        <v>Commercial - Cooking</v>
      </c>
      <c r="E11" s="363" t="s">
        <v>647</v>
      </c>
      <c r="F11" s="363" t="s">
        <v>755</v>
      </c>
    </row>
    <row r="12" spans="1:8">
      <c r="B12" s="363" t="s">
        <v>754</v>
      </c>
      <c r="C12" s="304" t="str">
        <f>COM_2012!B46</f>
        <v>CEL</v>
      </c>
      <c r="D12" s="304" t="str">
        <f>COM_2012!A46</f>
        <v>Commercial - Lighting</v>
      </c>
      <c r="E12" s="363" t="s">
        <v>647</v>
      </c>
      <c r="F12" s="363" t="s">
        <v>755</v>
      </c>
    </row>
    <row r="13" spans="1:8">
      <c r="B13" s="363" t="s">
        <v>754</v>
      </c>
      <c r="C13" s="304" t="str">
        <f>COM_2012!B47</f>
        <v>CER</v>
      </c>
      <c r="D13" s="304" t="str">
        <f>COM_2012!A47</f>
        <v>Commercial - Refrigeration</v>
      </c>
      <c r="E13" s="363" t="s">
        <v>647</v>
      </c>
      <c r="F13" s="363" t="s">
        <v>755</v>
      </c>
    </row>
    <row r="14" spans="1:8">
      <c r="B14" s="363" t="s">
        <v>754</v>
      </c>
      <c r="C14" s="304" t="str">
        <f>COM_2012!B48</f>
        <v>CEW</v>
      </c>
      <c r="D14" s="304" t="str">
        <f>COM_2012!A48</f>
        <v>Commercial - Water Heating</v>
      </c>
      <c r="E14" s="363" t="s">
        <v>647</v>
      </c>
      <c r="F14" s="363" t="s">
        <v>755</v>
      </c>
    </row>
    <row r="15" spans="1:8">
      <c r="B15" s="363" t="s">
        <v>754</v>
      </c>
      <c r="C15" s="304" t="str">
        <f>COM_2012!B49</f>
        <v>CEG</v>
      </c>
      <c r="D15" s="304" t="str">
        <f>COM_2012!A49</f>
        <v>Commercial - Public Lights</v>
      </c>
      <c r="E15" s="363" t="s">
        <v>647</v>
      </c>
      <c r="F15" s="363" t="s">
        <v>755</v>
      </c>
    </row>
    <row r="16" spans="1:8">
      <c r="B16" s="363" t="s">
        <v>754</v>
      </c>
      <c r="C16" s="304" t="str">
        <f>COM_2012!B50</f>
        <v>CET</v>
      </c>
      <c r="D16" s="304" t="str">
        <f>COM_2012!A50</f>
        <v>Commercial - Public Water</v>
      </c>
      <c r="E16" s="363" t="s">
        <v>647</v>
      </c>
      <c r="F16" s="363" t="s">
        <v>755</v>
      </c>
    </row>
    <row r="17" spans="1:8">
      <c r="B17" s="363" t="s">
        <v>754</v>
      </c>
      <c r="C17" s="304" t="str">
        <f>COM_2012!B51</f>
        <v>CEO</v>
      </c>
      <c r="D17" s="304" t="str">
        <f>COM_2012!A51</f>
        <v>Commercial - Other</v>
      </c>
      <c r="E17" s="363" t="s">
        <v>647</v>
      </c>
      <c r="F17" s="363" t="s">
        <v>755</v>
      </c>
    </row>
    <row r="18" spans="1:8">
      <c r="A18" s="304" t="s">
        <v>709</v>
      </c>
      <c r="B18" s="303" t="s">
        <v>753</v>
      </c>
      <c r="C18" s="362"/>
      <c r="D18" s="303"/>
      <c r="E18" s="303"/>
      <c r="F18" s="303"/>
      <c r="G18" s="303"/>
    </row>
    <row r="19" spans="1:8">
      <c r="B19" s="363" t="s">
        <v>754</v>
      </c>
      <c r="C19" s="304" t="str">
        <f>COM_N_2012!B43</f>
        <v>CNC</v>
      </c>
      <c r="D19" s="304" t="str">
        <f>COM_N_2012!A43</f>
        <v>Commercial - Cooling</v>
      </c>
      <c r="E19" s="363" t="s">
        <v>647</v>
      </c>
      <c r="F19" s="363" t="s">
        <v>755</v>
      </c>
    </row>
    <row r="20" spans="1:8">
      <c r="B20" s="363" t="s">
        <v>754</v>
      </c>
      <c r="C20" s="304" t="str">
        <f>COM_N_2012!B44</f>
        <v>CNH</v>
      </c>
      <c r="D20" s="304" t="str">
        <f>COM_N_2012!A44</f>
        <v>Commercial - Space Heating</v>
      </c>
      <c r="E20" s="363" t="s">
        <v>647</v>
      </c>
      <c r="F20" s="363" t="s">
        <v>755</v>
      </c>
    </row>
    <row r="21" spans="1:8">
      <c r="B21" s="363" t="s">
        <v>754</v>
      </c>
      <c r="C21" s="304" t="str">
        <f>COM_N_2012!B45</f>
        <v>CNK</v>
      </c>
      <c r="D21" s="304" t="str">
        <f>COM_N_2012!A45</f>
        <v>Commercial - Cooking</v>
      </c>
      <c r="E21" s="363" t="s">
        <v>647</v>
      </c>
      <c r="F21" s="363" t="s">
        <v>755</v>
      </c>
    </row>
    <row r="22" spans="1:8">
      <c r="B22" s="363" t="s">
        <v>754</v>
      </c>
      <c r="C22" s="304" t="str">
        <f>COM_N_2012!B46</f>
        <v>CNL</v>
      </c>
      <c r="D22" s="304" t="str">
        <f>COM_N_2012!A46</f>
        <v>Commercial - Lighting</v>
      </c>
      <c r="E22" s="363" t="s">
        <v>647</v>
      </c>
      <c r="F22" s="363" t="s">
        <v>755</v>
      </c>
    </row>
    <row r="23" spans="1:8">
      <c r="B23" s="363" t="s">
        <v>754</v>
      </c>
      <c r="C23" s="304" t="str">
        <f>COM_N_2012!B47</f>
        <v>CNR</v>
      </c>
      <c r="D23" s="304" t="str">
        <f>COM_N_2012!A47</f>
        <v>Commercial - Refrigeration</v>
      </c>
      <c r="E23" s="363" t="s">
        <v>647</v>
      </c>
      <c r="F23" s="363" t="s">
        <v>755</v>
      </c>
    </row>
    <row r="24" spans="1:8">
      <c r="B24" s="363" t="s">
        <v>754</v>
      </c>
      <c r="C24" s="304" t="str">
        <f>COM_N_2012!B48</f>
        <v>CNW</v>
      </c>
      <c r="D24" s="304" t="str">
        <f>COM_N_2012!A48</f>
        <v>Commercial - Water Heating</v>
      </c>
      <c r="E24" s="363" t="s">
        <v>647</v>
      </c>
      <c r="F24" s="363" t="s">
        <v>755</v>
      </c>
    </row>
    <row r="25" spans="1:8">
      <c r="B25" s="363" t="s">
        <v>754</v>
      </c>
      <c r="C25" s="304" t="str">
        <f>COM_N_2012!B49</f>
        <v>CNG</v>
      </c>
      <c r="D25" s="304" t="str">
        <f>COM_N_2012!A49</f>
        <v>Commercial - Public Lights</v>
      </c>
      <c r="E25" s="363" t="s">
        <v>647</v>
      </c>
      <c r="F25" s="363" t="s">
        <v>755</v>
      </c>
    </row>
    <row r="26" spans="1:8">
      <c r="B26" s="363" t="s">
        <v>754</v>
      </c>
      <c r="C26" s="304" t="str">
        <f>COM_N_2012!B50</f>
        <v>CNT</v>
      </c>
      <c r="D26" s="304" t="str">
        <f>COM_N_2012!A50</f>
        <v>Commercial - Public Water</v>
      </c>
      <c r="E26" s="363" t="s">
        <v>647</v>
      </c>
      <c r="F26" s="363" t="s">
        <v>755</v>
      </c>
    </row>
    <row r="27" spans="1:8">
      <c r="B27" s="363" t="s">
        <v>754</v>
      </c>
      <c r="C27" s="304" t="str">
        <f>COM_N_2012!B51</f>
        <v>CNO</v>
      </c>
      <c r="D27" s="304" t="str">
        <f>COM_N_2012!A51</f>
        <v>Commercial - Other</v>
      </c>
      <c r="E27" s="363" t="s">
        <v>647</v>
      </c>
      <c r="F27" s="363" t="s">
        <v>755</v>
      </c>
    </row>
    <row r="28" spans="1:8">
      <c r="A28" s="304" t="s">
        <v>709</v>
      </c>
      <c r="B28" s="363" t="s">
        <v>754</v>
      </c>
      <c r="C28" s="304">
        <f>COM_N_2012!B52</f>
        <v>0</v>
      </c>
      <c r="D28" s="304" t="str">
        <f>COM_N_2012!A52</f>
        <v>Total</v>
      </c>
      <c r="E28" s="363" t="s">
        <v>647</v>
      </c>
      <c r="F28" s="363" t="s">
        <v>755</v>
      </c>
    </row>
    <row r="29" spans="1:8">
      <c r="A29" s="304" t="s">
        <v>709</v>
      </c>
      <c r="B29" s="363" t="s">
        <v>756</v>
      </c>
      <c r="E29" s="363"/>
      <c r="F29" s="363"/>
    </row>
    <row r="30" spans="1:8">
      <c r="B30" s="363" t="s">
        <v>754</v>
      </c>
      <c r="C30" s="304" t="str">
        <f ca="1">OFFSET(COM_2012!$B$6,0,$H30)</f>
        <v>COMCOA</v>
      </c>
      <c r="D30" s="304" t="str">
        <f ca="1">COM_2012!$A$5&amp;" - "&amp;OFFSET(COM_2012!$B$5,0,$H30)</f>
        <v>Commercial - Coal</v>
      </c>
      <c r="E30" s="363" t="s">
        <v>647</v>
      </c>
      <c r="F30" s="363" t="s">
        <v>1358</v>
      </c>
      <c r="H30" s="304">
        <v>1</v>
      </c>
    </row>
    <row r="31" spans="1:8">
      <c r="B31" s="363" t="s">
        <v>754</v>
      </c>
      <c r="C31" s="304" t="str">
        <f ca="1">OFFSET(COM_2012!$B$6,0,$H31)</f>
        <v>COMODS</v>
      </c>
      <c r="D31" s="304" t="str">
        <f ca="1">COM_2012!$A$5&amp;" - "&amp;OFFSET(COM_2012!$B$5,0,$H31)</f>
        <v>Commercial - Oil Diesel</v>
      </c>
      <c r="E31" s="363" t="s">
        <v>647</v>
      </c>
      <c r="F31" s="363" t="s">
        <v>1358</v>
      </c>
      <c r="H31" s="304">
        <f>H30+1</f>
        <v>2</v>
      </c>
    </row>
    <row r="32" spans="1:8">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c r="B33" s="363" t="s">
        <v>754</v>
      </c>
      <c r="C33" s="304" t="str">
        <f ca="1">OFFSET(COM_2012!$B$6,0,$H33)</f>
        <v>COMGAS</v>
      </c>
      <c r="D33" s="304" t="str">
        <f ca="1">COM_2012!$A$5&amp;" - "&amp;OFFSET(COM_2012!$B$5,0,$H33)</f>
        <v>Commercial - Gas</v>
      </c>
      <c r="E33" s="363" t="s">
        <v>647</v>
      </c>
      <c r="F33" s="363" t="s">
        <v>1358</v>
      </c>
      <c r="H33" s="304">
        <f t="shared" si="0"/>
        <v>4</v>
      </c>
    </row>
    <row r="34" spans="1:8">
      <c r="B34" s="363" t="s">
        <v>754</v>
      </c>
      <c r="C34" s="304" t="str">
        <f ca="1">OFFSET(COM_2012!$B$6,0,$H34)</f>
        <v>COMOGS</v>
      </c>
      <c r="D34" s="304" t="str">
        <f ca="1">COM_2012!$A$5&amp;" - "&amp;OFFSET(COM_2012!$B$5,0,$H34)</f>
        <v>Commercial - Oil Gasoline</v>
      </c>
      <c r="E34" s="363" t="s">
        <v>647</v>
      </c>
      <c r="F34" s="363" t="s">
        <v>1358</v>
      </c>
      <c r="H34" s="304">
        <f t="shared" si="0"/>
        <v>5</v>
      </c>
    </row>
    <row r="35" spans="1:8">
      <c r="B35" s="363" t="s">
        <v>754</v>
      </c>
      <c r="C35" s="304" t="str">
        <f ca="1">OFFSET(COM_2012!$B$6,0,$H35)</f>
        <v>COMOHF</v>
      </c>
      <c r="D35" s="304" t="str">
        <f ca="1">COM_2012!$A$5&amp;" - "&amp;OFFSET(COM_2012!$B$5,0,$H35)</f>
        <v>Commercial - Oil HFO</v>
      </c>
      <c r="E35" s="363" t="s">
        <v>647</v>
      </c>
      <c r="F35" s="363" t="s">
        <v>1358</v>
      </c>
      <c r="H35" s="304">
        <f t="shared" si="0"/>
        <v>6</v>
      </c>
    </row>
    <row r="36" spans="1:8">
      <c r="B36" s="363" t="s">
        <v>754</v>
      </c>
      <c r="C36" s="304" t="str">
        <f ca="1">OFFSET(COM_2012!$B$6,0,$H36)</f>
        <v>COMOKE</v>
      </c>
      <c r="D36" s="304" t="str">
        <f ca="1">COM_2012!$A$5&amp;" - "&amp;OFFSET(COM_2012!$B$5,0,$H36)</f>
        <v>Commercial - Oil Paraffin</v>
      </c>
      <c r="E36" s="363" t="s">
        <v>647</v>
      </c>
      <c r="F36" s="363" t="s">
        <v>1358</v>
      </c>
      <c r="H36" s="304">
        <f t="shared" si="0"/>
        <v>7</v>
      </c>
    </row>
    <row r="37" spans="1:8">
      <c r="B37" s="363" t="s">
        <v>754</v>
      </c>
      <c r="C37" s="304" t="str">
        <f ca="1">OFFSET(COM_2012!$B$6,0,$H37)</f>
        <v>COMOLP</v>
      </c>
      <c r="D37" s="304" t="str">
        <f ca="1">COM_2012!$A$5&amp;" - "&amp;OFFSET(COM_2012!$B$5,0,$H37)</f>
        <v>Commercial - Oil LPG</v>
      </c>
      <c r="E37" s="363" t="s">
        <v>647</v>
      </c>
      <c r="F37" s="363" t="s">
        <v>1358</v>
      </c>
      <c r="H37" s="304">
        <f t="shared" si="0"/>
        <v>8</v>
      </c>
    </row>
    <row r="38" spans="1:8">
      <c r="A38" s="304" t="s">
        <v>709</v>
      </c>
      <c r="B38" s="363" t="s">
        <v>758</v>
      </c>
      <c r="E38" s="363"/>
      <c r="F38" s="363"/>
    </row>
    <row r="39" spans="1:8">
      <c r="B39" s="363" t="s">
        <v>754</v>
      </c>
      <c r="C39" s="304" t="str">
        <f ca="1">COM_2012!$B$6&amp;OFFSET(COM_2012!$B$8,$H39,0)</f>
        <v>COMCO2</v>
      </c>
      <c r="D39" s="304" t="str">
        <f ca="1">COM_2012!$A$5&amp;" - "&amp;OFFSET(COM_2012!$A$8,$H39,0)</f>
        <v>Commercial - Carbon Dioxide</v>
      </c>
      <c r="E39" s="363" t="s">
        <v>759</v>
      </c>
      <c r="F39" s="363" t="s">
        <v>760</v>
      </c>
      <c r="H39" s="304">
        <v>1</v>
      </c>
    </row>
    <row r="40" spans="1:8">
      <c r="B40" s="363" t="s">
        <v>754</v>
      </c>
      <c r="C40" s="304" t="str">
        <f ca="1">COM_2012!$B$6&amp;OFFSET(COM_2012!$B$8,$H40,0)</f>
        <v>COMCH4</v>
      </c>
      <c r="D40" s="304" t="str">
        <f ca="1">COM_2012!$A$5&amp;" - "&amp;OFFSET(COM_2012!$A$8,$H40,0)</f>
        <v>Commercial - Methane</v>
      </c>
      <c r="E40" s="363" t="s">
        <v>759</v>
      </c>
      <c r="F40" s="363" t="s">
        <v>760</v>
      </c>
      <c r="H40" s="304">
        <f>H39+1</f>
        <v>2</v>
      </c>
    </row>
    <row r="41" spans="1:8">
      <c r="B41" s="363" t="s">
        <v>754</v>
      </c>
      <c r="C41" s="304" t="str">
        <f ca="1">COM_2012!$B$6&amp;OFFSET(COM_2012!$B$8,$H41,0)</f>
        <v>COMN2O</v>
      </c>
      <c r="D41" s="304" t="str">
        <f ca="1">COM_2012!$A$5&amp;" - "&amp;OFFSET(COM_2012!$A$8,$H41,0)</f>
        <v>Commercial - Nitrous Oxide</v>
      </c>
      <c r="E41" s="363" t="s">
        <v>759</v>
      </c>
      <c r="F41" s="363" t="s">
        <v>760</v>
      </c>
      <c r="H41" s="304">
        <f>H40+1</f>
        <v>3</v>
      </c>
    </row>
    <row r="42" spans="1:8">
      <c r="B42" s="363" t="s">
        <v>754</v>
      </c>
      <c r="C42" s="304" t="str">
        <f ca="1">COM_2012!$B$6&amp;OFFSET(COM_2012!$B$8,$H42,0)</f>
        <v>COMSOX</v>
      </c>
      <c r="D42" s="304" t="str">
        <f ca="1">COM_2012!$A$5&amp;" - "&amp;OFFSET(COM_2012!$A$8,$H42,0)</f>
        <v>Commercial - Sulphur Gases</v>
      </c>
      <c r="E42" s="363" t="s">
        <v>759</v>
      </c>
      <c r="F42" s="363" t="s">
        <v>760</v>
      </c>
      <c r="H42" s="304">
        <f>H41+1</f>
        <v>4</v>
      </c>
    </row>
    <row r="43" spans="1:8">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1" r:id="rId3" name="cmdCheckItemsSheet">
          <controlPr defaultSize="0" autoLine="0" r:id="rId4">
            <anchor moveWithCells="1">
              <from>
                <xdr:col>0</xdr:col>
                <xdr:colOff>9525</xdr:colOff>
                <xdr:row>2</xdr:row>
                <xdr:rowOff>0</xdr:rowOff>
              </from>
              <to>
                <xdr:col>1</xdr:col>
                <xdr:colOff>0</xdr:colOff>
                <xdr:row>3</xdr:row>
                <xdr:rowOff>0</xdr:rowOff>
              </to>
            </anchor>
          </controlPr>
        </control>
      </mc:Choice>
      <mc:Fallback>
        <control shapeId="10241" r:id="rId3" name="cmdCheckItemsSheet"/>
      </mc:Fallback>
    </mc:AlternateContent>
    <mc:AlternateContent xmlns:mc="http://schemas.openxmlformats.org/markup-compatibility/2006">
      <mc:Choice Requires="x14">
        <control shapeId="10242" r:id="rId5" name="cmdSpecifyComponent">
          <controlPr defaultSize="0" autoLine="0" r:id="rId6">
            <anchor moveWithCells="1">
              <from>
                <xdr:col>1</xdr:col>
                <xdr:colOff>9525</xdr:colOff>
                <xdr:row>3</xdr:row>
                <xdr:rowOff>0</xdr:rowOff>
              </from>
              <to>
                <xdr:col>2</xdr:col>
                <xdr:colOff>0</xdr:colOff>
                <xdr:row>4</xdr:row>
                <xdr:rowOff>95250</xdr:rowOff>
              </to>
            </anchor>
          </controlPr>
        </control>
      </mc:Choice>
      <mc:Fallback>
        <control shapeId="10242" r:id="rId5" name="cmdSpecifyComponent"/>
      </mc:Fallback>
    </mc:AlternateContent>
    <mc:AlternateContent xmlns:mc="http://schemas.openxmlformats.org/markup-compatibility/2006">
      <mc:Choice Requires="x14">
        <control shapeId="10243" r:id="rId7" name="cmdSpecifyUnits">
          <controlPr defaultSize="0" autoLine="0" r:id="rId8">
            <anchor moveWithCells="1">
              <from>
                <xdr:col>4</xdr:col>
                <xdr:colOff>9525</xdr:colOff>
                <xdr:row>3</xdr:row>
                <xdr:rowOff>0</xdr:rowOff>
              </from>
              <to>
                <xdr:col>5</xdr:col>
                <xdr:colOff>0</xdr:colOff>
                <xdr:row>4</xdr:row>
                <xdr:rowOff>95250</xdr:rowOff>
              </to>
            </anchor>
          </controlPr>
        </control>
      </mc:Choice>
      <mc:Fallback>
        <control shapeId="10243" r:id="rId7" name="cmdSpecifyUnits"/>
      </mc:Fallback>
    </mc:AlternateContent>
    <mc:AlternateContent xmlns:mc="http://schemas.openxmlformats.org/markup-compatibility/2006">
      <mc:Choice Requires="x14">
        <control shapeId="10244" r:id="rId9" name="cmdSpecifySets">
          <controlPr defaultSize="0" autoLine="0" r:id="rId10">
            <anchor moveWithCells="1">
              <from>
                <xdr:col>5</xdr:col>
                <xdr:colOff>9525</xdr:colOff>
                <xdr:row>3</xdr:row>
                <xdr:rowOff>0</xdr:rowOff>
              </from>
              <to>
                <xdr:col>6</xdr:col>
                <xdr:colOff>0</xdr:colOff>
                <xdr:row>4</xdr:row>
                <xdr:rowOff>95250</xdr:rowOff>
              </to>
            </anchor>
          </controlPr>
        </control>
      </mc:Choice>
      <mc:Fallback>
        <control shapeId="10244" r:id="rId9" name="cmdSpecifySets"/>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9">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404929" r:id="rId3" name="cmdCheckTSandTIDDataSheet"/>
      </mc:Fallback>
    </mc:AlternateContent>
    <mc:AlternateContent xmlns:mc="http://schemas.openxmlformats.org/markup-compatibility/2006">
      <mc:Choice Requires="x14">
        <control shapeId="14049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404930" r:id="rId5" name="cmdSpecifyParameter"/>
      </mc:Fallback>
    </mc:AlternateContent>
    <mc:AlternateContent xmlns:mc="http://schemas.openxmlformats.org/markup-compatibility/2006">
      <mc:Choice Requires="x14">
        <control shapeId="14049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404931" r:id="rId7" name="cmdSpecifyArg1"/>
      </mc:Fallback>
    </mc:AlternateContent>
    <mc:AlternateContent xmlns:mc="http://schemas.openxmlformats.org/markup-compatibility/2006">
      <mc:Choice Requires="x14">
        <control shapeId="14049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404932" r:id="rId9" name="cmdSpecifyArg2"/>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404933" r:id="rId11" name="cmdSpecifyArg3"/>
      </mc:Fallback>
    </mc:AlternateContent>
    <mc:AlternateContent xmlns:mc="http://schemas.openxmlformats.org/markup-compatibility/2006">
      <mc:Choice Requires="x14">
        <control shapeId="14049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404934" r:id="rId13" name="cmdSpecifyArg4"/>
      </mc:Fallback>
    </mc:AlternateContent>
    <mc:AlternateContent xmlns:mc="http://schemas.openxmlformats.org/markup-compatibility/2006">
      <mc:Choice Requires="x14">
        <control shapeId="14049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404935" r:id="rId15" name="cmdSpecifyArg5"/>
      </mc:Fallback>
    </mc:AlternateContent>
    <mc:AlternateContent xmlns:mc="http://schemas.openxmlformats.org/markup-compatibility/2006">
      <mc:Choice Requires="x14">
        <control shapeId="14049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404936" r:id="rId17" name="cmdSpecifyArg6"/>
      </mc:Fallback>
    </mc:AlternateContent>
    <mc:AlternateContent xmlns:mc="http://schemas.openxmlformats.org/markup-compatibility/2006">
      <mc:Choice Requires="x14">
        <control shapeId="14049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404937" r:id="rId19" name="cmdSpecifyIEOptcode"/>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1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c r="A8" s="304" t="s">
        <v>709</v>
      </c>
      <c r="B8" s="303"/>
      <c r="C8" s="303"/>
      <c r="D8" s="303"/>
      <c r="E8" s="303"/>
      <c r="F8" s="303"/>
      <c r="G8" s="303"/>
      <c r="H8" s="303"/>
      <c r="I8" s="365"/>
    </row>
    <row r="9" spans="1:1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65"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265" r:id="rId3" name="cmdCheckTSandTIDDataSheet"/>
      </mc:Fallback>
    </mc:AlternateContent>
    <mc:AlternateContent xmlns:mc="http://schemas.openxmlformats.org/markup-compatibility/2006">
      <mc:Choice Requires="x14">
        <control shapeId="11266"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266" r:id="rId5" name="cmdSpecifyParameter"/>
      </mc:Fallback>
    </mc:AlternateContent>
    <mc:AlternateContent xmlns:mc="http://schemas.openxmlformats.org/markup-compatibility/2006">
      <mc:Choice Requires="x14">
        <control shapeId="11267"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267" r:id="rId7" name="cmdSpecifyArg1"/>
      </mc:Fallback>
    </mc:AlternateContent>
    <mc:AlternateContent xmlns:mc="http://schemas.openxmlformats.org/markup-compatibility/2006">
      <mc:Choice Requires="x14">
        <control shapeId="11268"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268" r:id="rId9" name="cmdSpecifyArg2"/>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269" r:id="rId11" name="cmdSpecifyArg3"/>
      </mc:Fallback>
    </mc:AlternateContent>
    <mc:AlternateContent xmlns:mc="http://schemas.openxmlformats.org/markup-compatibility/2006">
      <mc:Choice Requires="x14">
        <control shapeId="11270"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270" r:id="rId13" name="cmdSpecifyArg4"/>
      </mc:Fallback>
    </mc:AlternateContent>
    <mc:AlternateContent xmlns:mc="http://schemas.openxmlformats.org/markup-compatibility/2006">
      <mc:Choice Requires="x14">
        <control shapeId="11271"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271" r:id="rId15" name="cmdSpecifyArg5"/>
      </mc:Fallback>
    </mc:AlternateContent>
    <mc:AlternateContent xmlns:mc="http://schemas.openxmlformats.org/markup-compatibility/2006">
      <mc:Choice Requires="x14">
        <control shapeId="11272"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272" r:id="rId17" name="cmdSpecifyArg6"/>
      </mc:Fallback>
    </mc:AlternateContent>
    <mc:AlternateContent xmlns:mc="http://schemas.openxmlformats.org/markup-compatibility/2006">
      <mc:Choice Requires="x14">
        <control shapeId="11273"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273" r:id="rId19" name="cmdSpecifyIEOptcode"/>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2">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c r="A8" s="376" t="s">
        <v>709</v>
      </c>
      <c r="B8" s="375"/>
      <c r="C8" s="375"/>
      <c r="D8" s="375"/>
      <c r="E8" s="375"/>
      <c r="F8" s="375"/>
      <c r="G8" s="375"/>
      <c r="H8" s="375"/>
      <c r="I8" s="377"/>
    </row>
    <row r="9" spans="1:12">
      <c r="A9" s="376" t="s">
        <v>709</v>
      </c>
      <c r="B9" s="378" t="s">
        <v>767</v>
      </c>
      <c r="C9" s="378" t="s">
        <v>463</v>
      </c>
      <c r="D9" s="378" t="s">
        <v>750</v>
      </c>
      <c r="E9" s="378" t="s">
        <v>463</v>
      </c>
      <c r="F9" s="378" t="s">
        <v>463</v>
      </c>
      <c r="G9" s="378" t="s">
        <v>768</v>
      </c>
      <c r="H9" s="378" t="s">
        <v>463</v>
      </c>
      <c r="I9" s="379">
        <v>0</v>
      </c>
    </row>
    <row r="10" spans="1:12">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c r="B57" s="378" t="s">
        <v>767</v>
      </c>
      <c r="C57" s="380" t="s">
        <v>463</v>
      </c>
      <c r="D57" s="380" t="str">
        <f>'[5]COM COMFR'!D57</f>
        <v>CEK</v>
      </c>
      <c r="E57" s="380" t="s">
        <v>463</v>
      </c>
      <c r="F57" s="380" t="s">
        <v>463</v>
      </c>
      <c r="G57" s="380" t="str">
        <f>'[5]COM COMFR'!G57</f>
        <v>s2d1b2</v>
      </c>
      <c r="H57" s="380" t="s">
        <v>463</v>
      </c>
      <c r="I57" s="379">
        <v>0</v>
      </c>
      <c r="J57" s="380">
        <f>'[5]COM COMFR'!J57</f>
        <v>2.913E-2</v>
      </c>
    </row>
    <row r="58" spans="1:10">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c r="B59" s="378" t="s">
        <v>767</v>
      </c>
      <c r="C59" s="380" t="s">
        <v>463</v>
      </c>
      <c r="D59" s="380" t="str">
        <f>'[5]COM COMFR'!D59</f>
        <v>CEK</v>
      </c>
      <c r="E59" s="380" t="s">
        <v>463</v>
      </c>
      <c r="F59" s="380" t="s">
        <v>463</v>
      </c>
      <c r="G59" s="380" t="str">
        <f>'[5]COM COMFR'!G59</f>
        <v>s2d1b4</v>
      </c>
      <c r="H59" s="380" t="s">
        <v>463</v>
      </c>
      <c r="I59" s="379">
        <v>0</v>
      </c>
      <c r="J59" s="380">
        <f>'[5]COM COMFR'!J59</f>
        <v>3.134E-2</v>
      </c>
    </row>
    <row r="60" spans="1:10">
      <c r="B60" s="378" t="s">
        <v>767</v>
      </c>
      <c r="C60" s="380" t="s">
        <v>463</v>
      </c>
      <c r="D60" s="380" t="str">
        <f>'[5]COM COMFR'!D60</f>
        <v>CEK</v>
      </c>
      <c r="E60" s="380" t="s">
        <v>463</v>
      </c>
      <c r="F60" s="380" t="s">
        <v>463</v>
      </c>
      <c r="G60" s="380" t="str">
        <f>'[5]COM COMFR'!G60</f>
        <v>s2d1b5</v>
      </c>
      <c r="H60" s="380" t="s">
        <v>463</v>
      </c>
      <c r="I60" s="379">
        <v>0</v>
      </c>
      <c r="J60" s="380">
        <f>'[5]COM COMFR'!J60</f>
        <v>1.316E-2</v>
      </c>
    </row>
    <row r="61" spans="1:10">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c r="B65" s="378" t="s">
        <v>767</v>
      </c>
      <c r="C65" s="380" t="s">
        <v>463</v>
      </c>
      <c r="D65" s="380" t="str">
        <f>'[5]COM COMFR'!D65</f>
        <v>CEK</v>
      </c>
      <c r="E65" s="380" t="s">
        <v>463</v>
      </c>
      <c r="F65" s="380" t="s">
        <v>463</v>
      </c>
      <c r="G65" s="380" t="str">
        <f>'[5]COM COMFR'!G65</f>
        <v>s3d1b2</v>
      </c>
      <c r="H65" s="380" t="s">
        <v>463</v>
      </c>
      <c r="I65" s="379">
        <v>0</v>
      </c>
      <c r="J65" s="380">
        <f>'[5]COM COMFR'!J65</f>
        <v>0.13169</v>
      </c>
    </row>
    <row r="66" spans="2:10">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c r="B67" s="378" t="s">
        <v>767</v>
      </c>
      <c r="C67" s="380" t="s">
        <v>463</v>
      </c>
      <c r="D67" s="380" t="str">
        <f>'[5]COM COMFR'!D67</f>
        <v>CEK</v>
      </c>
      <c r="E67" s="380" t="s">
        <v>463</v>
      </c>
      <c r="F67" s="380" t="s">
        <v>463</v>
      </c>
      <c r="G67" s="380" t="str">
        <f>'[5]COM COMFR'!G67</f>
        <v>s3d2b1</v>
      </c>
      <c r="H67" s="380" t="s">
        <v>463</v>
      </c>
      <c r="I67" s="379">
        <v>0</v>
      </c>
      <c r="J67" s="380">
        <f>'[5]COM COMFR'!J67</f>
        <v>2.971E-2</v>
      </c>
    </row>
    <row r="68" spans="2:10">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c r="B73" s="378" t="s">
        <v>767</v>
      </c>
      <c r="C73" s="380" t="s">
        <v>463</v>
      </c>
      <c r="D73" s="380" t="str">
        <f>'[5]COM COMFR'!D73</f>
        <v>CEL</v>
      </c>
      <c r="E73" s="380" t="s">
        <v>463</v>
      </c>
      <c r="F73" s="380" t="s">
        <v>463</v>
      </c>
      <c r="G73" s="380" t="str">
        <f>'[5]COM COMFR'!G73</f>
        <v>s1d2b1</v>
      </c>
      <c r="H73" s="380" t="s">
        <v>463</v>
      </c>
      <c r="I73" s="379">
        <v>0</v>
      </c>
      <c r="J73" s="380">
        <f>'[5]COM COMFR'!J73</f>
        <v>3.449E-2</v>
      </c>
    </row>
    <row r="74" spans="2:10">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c r="B83" s="378" t="s">
        <v>767</v>
      </c>
      <c r="C83" s="380" t="s">
        <v>463</v>
      </c>
      <c r="D83" s="380" t="str">
        <f>'[5]COM COMFR'!D83</f>
        <v>CEL</v>
      </c>
      <c r="E83" s="380" t="s">
        <v>463</v>
      </c>
      <c r="F83" s="380" t="s">
        <v>463</v>
      </c>
      <c r="G83" s="380" t="str">
        <f>'[5]COM COMFR'!G83</f>
        <v>s2d2b3</v>
      </c>
      <c r="H83" s="380" t="s">
        <v>463</v>
      </c>
      <c r="I83" s="379">
        <v>0</v>
      </c>
      <c r="J83" s="380">
        <f>'[5]COM COMFR'!J83</f>
        <v>1.78E-2</v>
      </c>
    </row>
    <row r="84" spans="2:10">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c r="B85" s="378" t="s">
        <v>767</v>
      </c>
      <c r="C85" s="380" t="s">
        <v>463</v>
      </c>
      <c r="D85" s="380" t="str">
        <f>'[5]COM COMFR'!D85</f>
        <v>CEL</v>
      </c>
      <c r="E85" s="380" t="s">
        <v>463</v>
      </c>
      <c r="F85" s="380" t="s">
        <v>463</v>
      </c>
      <c r="G85" s="380" t="str">
        <f>'[5]COM COMFR'!G85</f>
        <v>s3d1b2</v>
      </c>
      <c r="H85" s="380" t="s">
        <v>463</v>
      </c>
      <c r="I85" s="379">
        <v>0</v>
      </c>
      <c r="J85" s="380">
        <f>'[5]COM COMFR'!J85</f>
        <v>0.11049</v>
      </c>
    </row>
    <row r="86" spans="2:10">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c r="B87" s="378" t="s">
        <v>767</v>
      </c>
      <c r="C87" s="380" t="s">
        <v>463</v>
      </c>
      <c r="D87" s="380" t="str">
        <f>'[5]COM COMFR'!D87</f>
        <v>CEL</v>
      </c>
      <c r="E87" s="380" t="s">
        <v>463</v>
      </c>
      <c r="F87" s="380" t="s">
        <v>463</v>
      </c>
      <c r="G87" s="380" t="str">
        <f>'[5]COM COMFR'!G87</f>
        <v>s3d2b1</v>
      </c>
      <c r="H87" s="380" t="s">
        <v>463</v>
      </c>
      <c r="I87" s="379">
        <v>0</v>
      </c>
      <c r="J87" s="380">
        <f>'[5]COM COMFR'!J87</f>
        <v>2.725E-2</v>
      </c>
    </row>
    <row r="88" spans="2:10">
      <c r="B88" s="378" t="s">
        <v>767</v>
      </c>
      <c r="C88" s="380" t="s">
        <v>463</v>
      </c>
      <c r="D88" s="380" t="str">
        <f>'[5]COM COMFR'!D88</f>
        <v>CEL</v>
      </c>
      <c r="E88" s="380" t="s">
        <v>463</v>
      </c>
      <c r="F88" s="380" t="s">
        <v>463</v>
      </c>
      <c r="G88" s="380" t="str">
        <f>'[5]COM COMFR'!G88</f>
        <v>s3d2b2</v>
      </c>
      <c r="H88" s="380" t="s">
        <v>463</v>
      </c>
      <c r="I88" s="379">
        <v>0</v>
      </c>
      <c r="J88" s="380">
        <f>'[5]COM COMFR'!J88</f>
        <v>4.65E-2</v>
      </c>
    </row>
    <row r="89" spans="2:10">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c r="B91" s="378" t="s">
        <v>767</v>
      </c>
      <c r="C91" s="380" t="s">
        <v>463</v>
      </c>
      <c r="D91" s="380" t="str">
        <f>'[5]COM COMFR'!D91</f>
        <v>CER</v>
      </c>
      <c r="E91" s="380" t="s">
        <v>463</v>
      </c>
      <c r="F91" s="380" t="s">
        <v>463</v>
      </c>
      <c r="G91" s="380" t="str">
        <f>'[5]COM COMFR'!G91</f>
        <v>s1d1b2</v>
      </c>
      <c r="H91" s="380" t="s">
        <v>463</v>
      </c>
      <c r="I91" s="379">
        <v>0</v>
      </c>
      <c r="J91" s="380">
        <f>'[5]COM COMFR'!J91</f>
        <v>0.10806</v>
      </c>
    </row>
    <row r="92" spans="2:10">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c r="B97" s="378" t="s">
        <v>767</v>
      </c>
      <c r="C97" s="380" t="s">
        <v>463</v>
      </c>
      <c r="D97" s="380" t="str">
        <f>'[5]COM COMFR'!D97</f>
        <v>CER</v>
      </c>
      <c r="E97" s="380" t="s">
        <v>463</v>
      </c>
      <c r="F97" s="380" t="s">
        <v>463</v>
      </c>
      <c r="G97" s="380" t="str">
        <f>'[5]COM COMFR'!G97</f>
        <v>s2d1b2</v>
      </c>
      <c r="H97" s="380" t="s">
        <v>463</v>
      </c>
      <c r="I97" s="379">
        <v>0</v>
      </c>
      <c r="J97" s="380">
        <f>'[5]COM COMFR'!J97</f>
        <v>2.24E-2</v>
      </c>
    </row>
    <row r="98" spans="2:10">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c r="B370" s="378"/>
      <c r="C370" s="380"/>
      <c r="D370" s="380"/>
      <c r="E370" s="380"/>
      <c r="F370" s="380"/>
      <c r="G370" s="380"/>
      <c r="H370" s="380"/>
      <c r="I370" s="379"/>
      <c r="J370" s="380"/>
    </row>
    <row r="371" spans="2:10">
      <c r="B371" s="378"/>
      <c r="C371" s="380"/>
      <c r="D371" s="380"/>
      <c r="E371" s="380"/>
      <c r="F371" s="380"/>
      <c r="G371" s="380"/>
      <c r="H371" s="380"/>
      <c r="I371" s="379"/>
      <c r="J371" s="380"/>
    </row>
    <row r="372" spans="2:10">
      <c r="B372" s="378"/>
      <c r="C372" s="380"/>
      <c r="D372" s="380"/>
      <c r="E372" s="380"/>
      <c r="F372" s="380"/>
      <c r="G372" s="380"/>
      <c r="H372" s="380"/>
      <c r="I372" s="379"/>
      <c r="J372" s="380"/>
    </row>
    <row r="373" spans="2:10">
      <c r="B373" s="378"/>
      <c r="C373" s="380"/>
      <c r="D373" s="380"/>
      <c r="E373" s="380"/>
      <c r="F373" s="380"/>
      <c r="G373" s="380"/>
      <c r="H373" s="380"/>
      <c r="I373" s="379"/>
      <c r="J373" s="380"/>
    </row>
    <row r="374" spans="2:10">
      <c r="B374" s="378"/>
      <c r="C374" s="380"/>
      <c r="D374" s="380"/>
      <c r="E374" s="380"/>
      <c r="F374" s="380"/>
      <c r="G374" s="380"/>
      <c r="H374" s="380"/>
      <c r="I374" s="379"/>
      <c r="J374" s="380"/>
    </row>
    <row r="375" spans="2:10">
      <c r="B375" s="378"/>
      <c r="C375" s="380"/>
      <c r="D375" s="380"/>
      <c r="E375" s="380"/>
      <c r="F375" s="380"/>
      <c r="G375" s="380"/>
      <c r="H375" s="380"/>
      <c r="I375" s="379"/>
      <c r="J375" s="380"/>
    </row>
    <row r="376" spans="2:10">
      <c r="B376" s="378"/>
      <c r="C376" s="380"/>
      <c r="D376" s="380"/>
      <c r="E376" s="380"/>
      <c r="F376" s="380"/>
      <c r="G376" s="380"/>
      <c r="H376" s="380"/>
      <c r="I376" s="379"/>
      <c r="J376" s="380"/>
    </row>
    <row r="377" spans="2:10">
      <c r="B377" s="378"/>
      <c r="C377" s="380"/>
      <c r="D377" s="380"/>
      <c r="E377" s="380"/>
      <c r="F377" s="380"/>
      <c r="G377" s="380"/>
      <c r="H377" s="380"/>
      <c r="I377" s="379"/>
      <c r="J377" s="380"/>
    </row>
    <row r="378" spans="2:10">
      <c r="B378" s="378"/>
      <c r="C378" s="380"/>
      <c r="D378" s="380"/>
      <c r="E378" s="380"/>
      <c r="F378" s="380"/>
      <c r="G378" s="380"/>
      <c r="H378" s="380"/>
      <c r="I378" s="379"/>
      <c r="J378" s="380"/>
    </row>
    <row r="379" spans="2:10">
      <c r="B379" s="378"/>
      <c r="C379" s="380"/>
      <c r="D379" s="380"/>
      <c r="E379" s="380"/>
      <c r="F379" s="380"/>
      <c r="G379" s="380"/>
      <c r="H379" s="380"/>
      <c r="I379" s="379"/>
      <c r="J379" s="380"/>
    </row>
    <row r="380" spans="2:10">
      <c r="B380" s="378"/>
      <c r="C380" s="380"/>
      <c r="D380" s="380"/>
      <c r="E380" s="380"/>
      <c r="F380" s="380"/>
      <c r="G380" s="380"/>
      <c r="H380" s="380"/>
      <c r="I380" s="379"/>
      <c r="J380" s="380"/>
    </row>
    <row r="381" spans="2:10">
      <c r="B381" s="378"/>
      <c r="C381" s="380"/>
      <c r="D381" s="380"/>
      <c r="E381" s="380"/>
      <c r="F381" s="380"/>
      <c r="G381" s="380"/>
      <c r="H381" s="380"/>
      <c r="I381" s="379"/>
      <c r="J381" s="380"/>
    </row>
    <row r="382" spans="2:10">
      <c r="B382" s="378"/>
      <c r="C382" s="380"/>
      <c r="D382" s="380"/>
      <c r="E382" s="380"/>
      <c r="F382" s="380"/>
      <c r="G382" s="380"/>
      <c r="H382" s="380"/>
      <c r="I382" s="379"/>
      <c r="J382" s="380"/>
    </row>
    <row r="383" spans="2:10">
      <c r="B383" s="378"/>
      <c r="C383" s="380"/>
      <c r="D383" s="380"/>
      <c r="E383" s="380"/>
      <c r="F383" s="380"/>
      <c r="G383" s="380"/>
      <c r="H383" s="380"/>
      <c r="I383" s="379"/>
      <c r="J383" s="380"/>
    </row>
    <row r="384" spans="2:10">
      <c r="B384" s="378"/>
      <c r="C384" s="380"/>
      <c r="D384" s="380"/>
      <c r="E384" s="380"/>
      <c r="F384" s="380"/>
      <c r="G384" s="380"/>
      <c r="H384" s="380"/>
      <c r="I384" s="379"/>
      <c r="J384" s="380"/>
    </row>
    <row r="385" spans="2:10">
      <c r="B385" s="378"/>
      <c r="C385" s="380"/>
      <c r="D385" s="380"/>
      <c r="E385" s="380"/>
      <c r="F385" s="380"/>
      <c r="G385" s="380"/>
      <c r="H385" s="380"/>
      <c r="I385" s="379"/>
      <c r="J385" s="380"/>
    </row>
    <row r="386" spans="2:10">
      <c r="B386" s="378"/>
      <c r="C386" s="380"/>
      <c r="D386" s="380"/>
      <c r="E386" s="380"/>
      <c r="F386" s="380"/>
      <c r="G386" s="380"/>
      <c r="H386" s="380"/>
      <c r="I386" s="379"/>
      <c r="J386" s="380"/>
    </row>
    <row r="387" spans="2:10">
      <c r="B387" s="378"/>
      <c r="C387" s="380"/>
      <c r="D387" s="380"/>
      <c r="E387" s="380"/>
      <c r="F387" s="380"/>
      <c r="G387" s="380"/>
      <c r="H387" s="380"/>
      <c r="I387" s="379"/>
      <c r="J387" s="380"/>
    </row>
    <row r="388" spans="2:10">
      <c r="B388" s="378"/>
      <c r="C388" s="380"/>
      <c r="D388" s="380"/>
      <c r="E388" s="380"/>
      <c r="F388" s="380"/>
      <c r="G388" s="380"/>
      <c r="H388" s="380"/>
      <c r="I388" s="379"/>
      <c r="J388" s="380"/>
    </row>
    <row r="389" spans="2:10">
      <c r="B389" s="378"/>
      <c r="C389" s="380"/>
      <c r="D389" s="380"/>
      <c r="E389" s="380"/>
      <c r="F389" s="380"/>
      <c r="G389" s="380"/>
      <c r="H389" s="380"/>
      <c r="I389" s="379"/>
      <c r="J389" s="380"/>
    </row>
    <row r="390" spans="2:10">
      <c r="B390" s="378"/>
      <c r="C390" s="380"/>
      <c r="D390" s="380"/>
      <c r="E390" s="380"/>
      <c r="F390" s="380"/>
      <c r="G390" s="380"/>
      <c r="H390" s="380"/>
      <c r="I390" s="379"/>
      <c r="J390" s="380"/>
    </row>
    <row r="391" spans="2:10">
      <c r="B391" s="378"/>
      <c r="C391" s="380"/>
      <c r="D391" s="380"/>
      <c r="E391" s="380"/>
      <c r="F391" s="380"/>
      <c r="G391" s="380"/>
      <c r="H391" s="380"/>
      <c r="I391" s="379"/>
      <c r="J391" s="380"/>
    </row>
    <row r="392" spans="2:10">
      <c r="B392" s="378"/>
      <c r="C392" s="380"/>
      <c r="D392" s="380"/>
      <c r="E392" s="380"/>
      <c r="F392" s="380"/>
      <c r="G392" s="380"/>
      <c r="H392" s="380"/>
      <c r="I392" s="379"/>
      <c r="J392" s="380"/>
    </row>
    <row r="393" spans="2:10">
      <c r="B393" s="378"/>
      <c r="C393" s="380"/>
      <c r="D393" s="380"/>
      <c r="E393" s="380"/>
      <c r="F393" s="380"/>
      <c r="G393" s="380"/>
      <c r="H393" s="380"/>
      <c r="I393" s="379"/>
      <c r="J393" s="380"/>
    </row>
    <row r="394" spans="2:10">
      <c r="B394" s="378"/>
      <c r="C394" s="380"/>
      <c r="D394" s="380"/>
      <c r="E394" s="380"/>
      <c r="F394" s="380"/>
      <c r="G394" s="380"/>
      <c r="H394" s="380"/>
      <c r="I394" s="379"/>
      <c r="J394" s="380"/>
    </row>
    <row r="395" spans="2:10">
      <c r="B395" s="378"/>
      <c r="C395" s="380"/>
      <c r="D395" s="380"/>
      <c r="E395" s="380"/>
      <c r="F395" s="380"/>
      <c r="G395" s="380"/>
      <c r="H395" s="380"/>
      <c r="I395" s="379"/>
      <c r="J395" s="380"/>
    </row>
    <row r="396" spans="2:10">
      <c r="B396" s="378"/>
      <c r="C396" s="380"/>
      <c r="D396" s="380"/>
      <c r="E396" s="380"/>
      <c r="F396" s="380"/>
      <c r="G396" s="380"/>
      <c r="H396" s="380"/>
      <c r="I396" s="379"/>
      <c r="J396" s="380"/>
    </row>
    <row r="397" spans="2:10">
      <c r="B397" s="378"/>
      <c r="C397" s="380"/>
      <c r="D397" s="380"/>
      <c r="E397" s="380"/>
      <c r="F397" s="380"/>
      <c r="G397" s="380"/>
      <c r="H397" s="380"/>
      <c r="I397" s="379"/>
      <c r="J397" s="380"/>
    </row>
    <row r="398" spans="2:10">
      <c r="B398" s="378"/>
      <c r="C398" s="380"/>
      <c r="D398" s="380"/>
      <c r="E398" s="380"/>
      <c r="F398" s="380"/>
      <c r="G398" s="380"/>
      <c r="H398" s="380"/>
      <c r="I398" s="379"/>
      <c r="J398" s="380"/>
    </row>
    <row r="399" spans="2:10">
      <c r="B399" s="378"/>
      <c r="C399" s="380"/>
      <c r="D399" s="380"/>
      <c r="E399" s="380"/>
      <c r="F399" s="380"/>
      <c r="G399" s="380"/>
      <c r="H399" s="380"/>
      <c r="I399" s="379"/>
      <c r="J399" s="380"/>
    </row>
    <row r="400" spans="2:10">
      <c r="B400" s="378"/>
      <c r="C400" s="380"/>
      <c r="D400" s="380"/>
      <c r="E400" s="380"/>
      <c r="F400" s="380"/>
      <c r="G400" s="380"/>
      <c r="H400" s="380"/>
      <c r="I400" s="379"/>
      <c r="J400" s="380"/>
    </row>
    <row r="401" spans="2:10">
      <c r="B401" s="378"/>
      <c r="C401" s="380"/>
      <c r="D401" s="380"/>
      <c r="E401" s="380"/>
      <c r="F401" s="380"/>
      <c r="G401" s="380"/>
      <c r="H401" s="380"/>
      <c r="I401" s="379"/>
      <c r="J401" s="380"/>
    </row>
    <row r="402" spans="2:10">
      <c r="B402" s="378"/>
      <c r="C402" s="380"/>
      <c r="D402" s="380"/>
      <c r="E402" s="380"/>
      <c r="F402" s="380"/>
      <c r="G402" s="380"/>
      <c r="H402" s="380"/>
      <c r="I402" s="379"/>
      <c r="J402" s="380"/>
    </row>
    <row r="403" spans="2:10">
      <c r="B403" s="378"/>
      <c r="C403" s="380"/>
      <c r="D403" s="380"/>
      <c r="E403" s="380"/>
      <c r="F403" s="380"/>
      <c r="G403" s="380"/>
      <c r="H403" s="380"/>
      <c r="I403" s="379"/>
      <c r="J403" s="380"/>
    </row>
    <row r="404" spans="2:10">
      <c r="B404" s="378"/>
      <c r="C404" s="380"/>
      <c r="D404" s="380"/>
      <c r="E404" s="380"/>
      <c r="F404" s="380"/>
      <c r="G404" s="380"/>
      <c r="H404" s="380"/>
      <c r="I404" s="379"/>
      <c r="J404" s="380"/>
    </row>
    <row r="405" spans="2:10">
      <c r="B405" s="378"/>
      <c r="C405" s="380"/>
      <c r="D405" s="380"/>
      <c r="E405" s="380"/>
      <c r="F405" s="380"/>
      <c r="G405" s="380"/>
      <c r="H405" s="380"/>
      <c r="I405" s="379"/>
      <c r="J405" s="380"/>
    </row>
    <row r="406" spans="2:10">
      <c r="B406" s="378"/>
      <c r="C406" s="380"/>
      <c r="D406" s="380"/>
      <c r="E406" s="380"/>
      <c r="F406" s="380"/>
      <c r="G406" s="380"/>
      <c r="H406" s="380"/>
      <c r="I406" s="379"/>
      <c r="J406" s="380"/>
    </row>
    <row r="407" spans="2:10">
      <c r="B407" s="378"/>
      <c r="C407" s="380"/>
      <c r="D407" s="380"/>
      <c r="E407" s="380"/>
      <c r="F407" s="380"/>
      <c r="G407" s="380"/>
      <c r="H407" s="380"/>
      <c r="I407" s="379"/>
      <c r="J407" s="380"/>
    </row>
    <row r="408" spans="2:10">
      <c r="B408" s="378"/>
      <c r="C408" s="380"/>
      <c r="D408" s="380"/>
      <c r="E408" s="380"/>
      <c r="F408" s="380"/>
      <c r="G408" s="380"/>
      <c r="H408" s="380"/>
      <c r="I408" s="379"/>
      <c r="J408" s="380"/>
    </row>
    <row r="409" spans="2:10">
      <c r="B409" s="378"/>
      <c r="C409" s="380"/>
      <c r="D409" s="380"/>
      <c r="E409" s="380"/>
      <c r="F409" s="380"/>
      <c r="G409" s="380"/>
      <c r="H409" s="380"/>
      <c r="I409" s="379"/>
      <c r="J409" s="380"/>
    </row>
    <row r="410" spans="2:10">
      <c r="B410" s="378"/>
      <c r="C410" s="380"/>
      <c r="D410" s="380"/>
      <c r="E410" s="380"/>
      <c r="F410" s="380"/>
      <c r="G410" s="380"/>
      <c r="H410" s="380"/>
      <c r="I410" s="379"/>
      <c r="J410" s="380"/>
    </row>
    <row r="411" spans="2:10">
      <c r="B411" s="378"/>
      <c r="C411" s="380"/>
      <c r="D411" s="380"/>
      <c r="E411" s="380"/>
      <c r="F411" s="380"/>
      <c r="G411" s="380"/>
      <c r="H411" s="380"/>
      <c r="I411" s="379"/>
      <c r="J411" s="380"/>
    </row>
    <row r="412" spans="2:10">
      <c r="B412" s="378"/>
      <c r="C412" s="380"/>
      <c r="D412" s="380"/>
      <c r="E412" s="380"/>
      <c r="F412" s="380"/>
      <c r="G412" s="380"/>
      <c r="H412" s="380"/>
      <c r="I412" s="379"/>
      <c r="J412" s="380"/>
    </row>
    <row r="413" spans="2:10">
      <c r="B413" s="378"/>
      <c r="C413" s="380"/>
      <c r="D413" s="380"/>
      <c r="E413" s="380"/>
      <c r="F413" s="380"/>
      <c r="G413" s="380"/>
      <c r="H413" s="380"/>
      <c r="I413" s="379"/>
      <c r="J413" s="380"/>
    </row>
    <row r="414" spans="2:10">
      <c r="B414" s="378"/>
      <c r="C414" s="380"/>
      <c r="D414" s="380"/>
      <c r="E414" s="380"/>
      <c r="F414" s="380"/>
      <c r="G414" s="380"/>
      <c r="H414" s="380"/>
      <c r="I414" s="379"/>
      <c r="J414" s="380"/>
    </row>
    <row r="415" spans="2:10">
      <c r="B415" s="378"/>
      <c r="C415" s="380"/>
      <c r="D415" s="380"/>
      <c r="E415" s="380"/>
      <c r="F415" s="380"/>
      <c r="G415" s="380"/>
      <c r="H415" s="380"/>
      <c r="I415" s="379"/>
      <c r="J415" s="380"/>
    </row>
    <row r="416" spans="2:10">
      <c r="B416" s="378"/>
      <c r="C416" s="380"/>
      <c r="D416" s="380"/>
      <c r="E416" s="380"/>
      <c r="F416" s="380"/>
      <c r="G416" s="380"/>
      <c r="H416" s="380"/>
      <c r="I416" s="379"/>
      <c r="J416" s="380"/>
    </row>
    <row r="417" spans="2:10">
      <c r="B417" s="378"/>
      <c r="C417" s="380"/>
      <c r="D417" s="380"/>
      <c r="E417" s="380"/>
      <c r="F417" s="380"/>
      <c r="G417" s="380"/>
      <c r="H417" s="380"/>
      <c r="I417" s="379"/>
      <c r="J417" s="380"/>
    </row>
    <row r="418" spans="2:10">
      <c r="B418" s="378"/>
      <c r="C418" s="380"/>
      <c r="D418" s="380"/>
      <c r="E418" s="380"/>
      <c r="F418" s="380"/>
      <c r="G418" s="380"/>
      <c r="H418" s="380"/>
      <c r="I418" s="379"/>
      <c r="J418" s="380"/>
    </row>
    <row r="419" spans="2:10">
      <c r="B419" s="378"/>
      <c r="C419" s="380"/>
      <c r="D419" s="380"/>
      <c r="E419" s="380"/>
      <c r="F419" s="380"/>
      <c r="G419" s="380"/>
      <c r="H419" s="380"/>
      <c r="I419" s="379"/>
      <c r="J419" s="380"/>
    </row>
    <row r="420" spans="2:10">
      <c r="B420" s="378"/>
      <c r="C420" s="380"/>
      <c r="D420" s="380"/>
      <c r="E420" s="380"/>
      <c r="F420" s="380"/>
      <c r="G420" s="380"/>
      <c r="H420" s="380"/>
      <c r="I420" s="379"/>
      <c r="J420" s="380"/>
    </row>
    <row r="421" spans="2:10">
      <c r="B421" s="378"/>
      <c r="C421" s="380"/>
      <c r="D421" s="380"/>
      <c r="E421" s="380"/>
      <c r="F421" s="380"/>
      <c r="G421" s="380"/>
      <c r="H421" s="380"/>
      <c r="I421" s="379"/>
      <c r="J421" s="380"/>
    </row>
    <row r="422" spans="2:10">
      <c r="B422" s="378"/>
      <c r="C422" s="380"/>
      <c r="D422" s="380"/>
      <c r="E422" s="380"/>
      <c r="F422" s="380"/>
      <c r="G422" s="380"/>
      <c r="H422" s="380"/>
      <c r="I422" s="379"/>
      <c r="J422" s="380"/>
    </row>
    <row r="423" spans="2:10">
      <c r="B423" s="378"/>
      <c r="C423" s="380"/>
      <c r="D423" s="380"/>
      <c r="E423" s="380"/>
      <c r="F423" s="380"/>
      <c r="G423" s="380"/>
      <c r="H423" s="380"/>
      <c r="I423" s="379"/>
      <c r="J423" s="380"/>
    </row>
    <row r="424" spans="2:10">
      <c r="B424" s="378"/>
      <c r="C424" s="380"/>
      <c r="D424" s="380"/>
      <c r="E424" s="380"/>
      <c r="F424" s="380"/>
      <c r="G424" s="380"/>
      <c r="H424" s="380"/>
      <c r="I424" s="379"/>
      <c r="J424" s="380"/>
    </row>
    <row r="425" spans="2:10">
      <c r="B425" s="378"/>
      <c r="C425" s="380"/>
      <c r="D425" s="380"/>
      <c r="E425" s="380"/>
      <c r="F425" s="380"/>
      <c r="G425" s="380"/>
      <c r="H425" s="380"/>
      <c r="I425" s="379"/>
      <c r="J425" s="380"/>
    </row>
    <row r="426" spans="2:10">
      <c r="B426" s="378"/>
      <c r="C426" s="380"/>
      <c r="D426" s="380"/>
      <c r="E426" s="380"/>
      <c r="F426" s="380"/>
      <c r="G426" s="380"/>
      <c r="H426" s="380"/>
      <c r="I426" s="379"/>
      <c r="J426" s="380"/>
    </row>
    <row r="427" spans="2:10">
      <c r="B427" s="378"/>
      <c r="C427" s="380"/>
      <c r="D427" s="380"/>
      <c r="E427" s="380"/>
      <c r="F427" s="380"/>
      <c r="G427" s="380"/>
      <c r="H427" s="380"/>
      <c r="I427" s="379"/>
      <c r="J427" s="380"/>
    </row>
    <row r="428" spans="2:10">
      <c r="B428" s="378"/>
      <c r="C428" s="380"/>
      <c r="D428" s="380"/>
      <c r="E428" s="380"/>
      <c r="F428" s="380"/>
      <c r="G428" s="380"/>
      <c r="H428" s="380"/>
      <c r="I428" s="379"/>
      <c r="J428" s="380"/>
    </row>
    <row r="429" spans="2:10">
      <c r="B429" s="378"/>
      <c r="C429" s="380"/>
      <c r="D429" s="380"/>
      <c r="E429" s="380"/>
      <c r="F429" s="380"/>
      <c r="G429" s="380"/>
      <c r="H429" s="380"/>
      <c r="I429" s="379"/>
      <c r="J429" s="380"/>
    </row>
    <row r="430" spans="2:10">
      <c r="B430" s="378"/>
      <c r="C430" s="380"/>
      <c r="D430" s="380"/>
      <c r="E430" s="380"/>
      <c r="F430" s="380"/>
      <c r="G430" s="380"/>
      <c r="H430" s="380"/>
      <c r="I430" s="379"/>
      <c r="J430" s="380"/>
    </row>
    <row r="431" spans="2:10">
      <c r="B431" s="378"/>
      <c r="C431" s="380"/>
      <c r="D431" s="380"/>
      <c r="E431" s="380"/>
      <c r="F431" s="380"/>
      <c r="G431" s="380"/>
      <c r="H431" s="380"/>
      <c r="I431" s="379"/>
      <c r="J431" s="380"/>
    </row>
    <row r="432" spans="2:10">
      <c r="B432" s="378"/>
      <c r="C432" s="380"/>
      <c r="D432" s="380"/>
      <c r="E432" s="380"/>
      <c r="F432" s="380"/>
      <c r="G432" s="380"/>
      <c r="H432" s="380"/>
      <c r="I432" s="379"/>
      <c r="J432" s="380"/>
    </row>
    <row r="433" spans="2:10">
      <c r="B433" s="378"/>
      <c r="C433" s="380"/>
      <c r="D433" s="380"/>
      <c r="E433" s="380"/>
      <c r="F433" s="380"/>
      <c r="G433" s="380"/>
      <c r="H433" s="380"/>
      <c r="I433" s="379"/>
      <c r="J433" s="380"/>
    </row>
    <row r="434" spans="2:10">
      <c r="B434" s="378"/>
      <c r="C434" s="380"/>
      <c r="D434" s="380"/>
      <c r="E434" s="380"/>
      <c r="F434" s="380"/>
      <c r="G434" s="380"/>
      <c r="H434" s="380"/>
      <c r="I434" s="379"/>
      <c r="J434" s="380"/>
    </row>
    <row r="435" spans="2:10">
      <c r="B435" s="378"/>
      <c r="C435" s="380"/>
      <c r="D435" s="380"/>
      <c r="E435" s="380"/>
      <c r="F435" s="380"/>
      <c r="G435" s="380"/>
      <c r="H435" s="380"/>
      <c r="I435" s="379"/>
      <c r="J435" s="380"/>
    </row>
    <row r="436" spans="2:10">
      <c r="B436" s="378"/>
      <c r="C436" s="380"/>
      <c r="D436" s="380"/>
      <c r="E436" s="380"/>
      <c r="F436" s="380"/>
      <c r="G436" s="380"/>
      <c r="H436" s="380"/>
      <c r="I436" s="379"/>
      <c r="J436" s="380"/>
    </row>
    <row r="437" spans="2:10">
      <c r="B437" s="378"/>
      <c r="C437" s="380"/>
      <c r="D437" s="380"/>
      <c r="E437" s="380"/>
      <c r="F437" s="380"/>
      <c r="G437" s="380"/>
      <c r="H437" s="380"/>
      <c r="I437" s="379"/>
      <c r="J437" s="380"/>
    </row>
    <row r="438" spans="2:10">
      <c r="B438" s="378"/>
      <c r="C438" s="380"/>
      <c r="D438" s="380"/>
      <c r="E438" s="380"/>
      <c r="F438" s="380"/>
      <c r="G438" s="380"/>
      <c r="H438" s="380"/>
      <c r="I438" s="379"/>
      <c r="J438" s="380"/>
    </row>
    <row r="439" spans="2:10">
      <c r="B439" s="378"/>
      <c r="C439" s="380"/>
      <c r="D439" s="380"/>
      <c r="E439" s="380"/>
      <c r="F439" s="380"/>
      <c r="G439" s="380"/>
      <c r="H439" s="380"/>
      <c r="I439" s="379"/>
      <c r="J439" s="380"/>
    </row>
    <row r="440" spans="2:10">
      <c r="B440" s="378"/>
      <c r="C440" s="380"/>
      <c r="D440" s="380"/>
      <c r="E440" s="380"/>
      <c r="F440" s="380"/>
      <c r="G440" s="380"/>
      <c r="H440" s="380"/>
      <c r="I440" s="379"/>
      <c r="J440" s="380"/>
    </row>
    <row r="441" spans="2:10">
      <c r="B441" s="378"/>
      <c r="C441" s="380"/>
      <c r="D441" s="380"/>
      <c r="E441" s="380"/>
      <c r="F441" s="380"/>
      <c r="G441" s="380"/>
      <c r="H441" s="380"/>
      <c r="I441" s="379"/>
      <c r="J441" s="380"/>
    </row>
    <row r="442" spans="2:10">
      <c r="B442" s="378"/>
      <c r="C442" s="380"/>
      <c r="D442" s="380"/>
      <c r="E442" s="380"/>
      <c r="F442" s="380"/>
      <c r="G442" s="380"/>
      <c r="H442" s="380"/>
      <c r="I442" s="379"/>
      <c r="J442" s="380"/>
    </row>
    <row r="443" spans="2:10">
      <c r="B443" s="378"/>
      <c r="C443" s="380"/>
      <c r="D443" s="380"/>
      <c r="E443" s="380"/>
      <c r="F443" s="380"/>
      <c r="G443" s="380"/>
      <c r="H443" s="380"/>
      <c r="I443" s="379"/>
      <c r="J443" s="380"/>
    </row>
    <row r="444" spans="2:10">
      <c r="B444" s="378"/>
      <c r="C444" s="380"/>
      <c r="D444" s="380"/>
      <c r="E444" s="380"/>
      <c r="F444" s="380"/>
      <c r="G444" s="380"/>
      <c r="H444" s="380"/>
      <c r="I444" s="379"/>
      <c r="J444" s="380"/>
    </row>
    <row r="445" spans="2:10">
      <c r="B445" s="378"/>
      <c r="C445" s="380"/>
      <c r="D445" s="380"/>
      <c r="E445" s="380"/>
      <c r="F445" s="380"/>
      <c r="G445" s="380"/>
      <c r="H445" s="380"/>
      <c r="I445" s="379"/>
      <c r="J445" s="380"/>
    </row>
    <row r="446" spans="2:10">
      <c r="B446" s="378"/>
      <c r="C446" s="380"/>
      <c r="D446" s="380"/>
      <c r="E446" s="380"/>
      <c r="F446" s="380"/>
      <c r="G446" s="380"/>
      <c r="H446" s="380"/>
      <c r="I446" s="379"/>
      <c r="J446" s="380"/>
    </row>
    <row r="447" spans="2:10">
      <c r="B447" s="378"/>
      <c r="C447" s="380"/>
      <c r="D447" s="380"/>
      <c r="E447" s="380"/>
      <c r="F447" s="380"/>
      <c r="G447" s="380"/>
      <c r="H447" s="380"/>
      <c r="I447" s="379"/>
      <c r="J447" s="380"/>
    </row>
    <row r="448" spans="2:10">
      <c r="B448" s="378"/>
      <c r="C448" s="380"/>
      <c r="D448" s="380"/>
      <c r="E448" s="380"/>
      <c r="F448" s="380"/>
      <c r="G448" s="380"/>
      <c r="H448" s="380"/>
      <c r="I448" s="379"/>
      <c r="J448" s="380"/>
    </row>
    <row r="449" spans="2:10">
      <c r="B449" s="378"/>
      <c r="C449" s="380"/>
      <c r="D449" s="380"/>
      <c r="E449" s="380"/>
      <c r="F449" s="380"/>
      <c r="G449" s="380"/>
      <c r="H449" s="380"/>
      <c r="I449" s="379"/>
      <c r="J449" s="380"/>
    </row>
    <row r="450" spans="2:10">
      <c r="B450" s="378"/>
      <c r="C450" s="380"/>
      <c r="D450" s="380"/>
      <c r="E450" s="380"/>
      <c r="F450" s="380"/>
      <c r="G450" s="380"/>
      <c r="H450" s="380"/>
      <c r="I450" s="379"/>
      <c r="J450" s="380"/>
    </row>
    <row r="451" spans="2:10">
      <c r="B451" s="378"/>
      <c r="C451" s="380"/>
      <c r="D451" s="380"/>
      <c r="E451" s="380"/>
      <c r="F451" s="380"/>
      <c r="G451" s="380"/>
      <c r="H451" s="380"/>
      <c r="I451" s="379"/>
      <c r="J451" s="380"/>
    </row>
    <row r="452" spans="2:10">
      <c r="B452" s="378"/>
      <c r="C452" s="380"/>
      <c r="D452" s="380"/>
      <c r="E452" s="380"/>
      <c r="F452" s="380"/>
      <c r="G452" s="380"/>
      <c r="H452" s="380"/>
      <c r="I452" s="379"/>
      <c r="J452" s="380"/>
    </row>
    <row r="453" spans="2:10">
      <c r="B453" s="378"/>
      <c r="C453" s="380"/>
      <c r="D453" s="380"/>
      <c r="E453" s="380"/>
      <c r="F453" s="380"/>
      <c r="G453" s="380"/>
      <c r="H453" s="380"/>
      <c r="I453" s="379"/>
      <c r="J453" s="380"/>
    </row>
    <row r="454" spans="2:10">
      <c r="B454" s="378"/>
      <c r="C454" s="380"/>
      <c r="D454" s="380"/>
      <c r="E454" s="380"/>
      <c r="F454" s="380"/>
      <c r="G454" s="380"/>
      <c r="H454" s="380"/>
      <c r="I454" s="379"/>
      <c r="J454" s="380"/>
    </row>
    <row r="455" spans="2:10">
      <c r="B455" s="378"/>
      <c r="C455" s="380"/>
      <c r="D455" s="380"/>
      <c r="E455" s="380"/>
      <c r="F455" s="380"/>
      <c r="G455" s="380"/>
      <c r="H455" s="380"/>
      <c r="I455" s="379"/>
      <c r="J455" s="380"/>
    </row>
    <row r="456" spans="2:10">
      <c r="B456" s="378"/>
      <c r="C456" s="380"/>
      <c r="D456" s="380"/>
      <c r="E456" s="380"/>
      <c r="F456" s="380"/>
      <c r="G456" s="380"/>
      <c r="H456" s="380"/>
      <c r="I456" s="379"/>
      <c r="J456" s="380"/>
    </row>
    <row r="457" spans="2:10">
      <c r="B457" s="378"/>
      <c r="C457" s="380"/>
      <c r="D457" s="380"/>
      <c r="E457" s="380"/>
      <c r="F457" s="380"/>
      <c r="G457" s="380"/>
      <c r="H457" s="380"/>
      <c r="I457" s="379"/>
      <c r="J457" s="380"/>
    </row>
    <row r="458" spans="2:10">
      <c r="B458" s="378"/>
      <c r="C458" s="380"/>
      <c r="D458" s="380"/>
      <c r="E458" s="380"/>
      <c r="F458" s="380"/>
      <c r="G458" s="380"/>
      <c r="H458" s="380"/>
      <c r="I458" s="379"/>
      <c r="J458" s="380"/>
    </row>
    <row r="459" spans="2:10">
      <c r="B459" s="378"/>
      <c r="C459" s="380"/>
      <c r="D459" s="380"/>
      <c r="E459" s="380"/>
      <c r="F459" s="380"/>
      <c r="G459" s="380"/>
      <c r="H459" s="380"/>
      <c r="I459" s="379"/>
      <c r="J459" s="380"/>
    </row>
    <row r="460" spans="2:10">
      <c r="B460" s="378"/>
      <c r="C460" s="380"/>
      <c r="D460" s="380"/>
      <c r="E460" s="380"/>
      <c r="F460" s="380"/>
      <c r="G460" s="380"/>
      <c r="H460" s="380"/>
      <c r="I460" s="379"/>
      <c r="J460" s="380"/>
    </row>
    <row r="461" spans="2:10">
      <c r="B461" s="378"/>
      <c r="C461" s="380"/>
      <c r="D461" s="380"/>
      <c r="E461" s="380"/>
      <c r="F461" s="380"/>
      <c r="G461" s="380"/>
      <c r="H461" s="380"/>
      <c r="I461" s="379"/>
      <c r="J461" s="380"/>
    </row>
    <row r="462" spans="2:10">
      <c r="B462" s="378"/>
      <c r="C462" s="380"/>
      <c r="D462" s="380"/>
      <c r="E462" s="380"/>
      <c r="F462" s="380"/>
      <c r="G462" s="380"/>
      <c r="H462" s="380"/>
      <c r="I462" s="379"/>
      <c r="J462" s="380"/>
    </row>
    <row r="463" spans="2:10">
      <c r="B463" s="378"/>
      <c r="C463" s="380"/>
      <c r="D463" s="380"/>
      <c r="E463" s="380"/>
      <c r="F463" s="380"/>
      <c r="G463" s="380"/>
      <c r="H463" s="380"/>
      <c r="I463" s="379"/>
      <c r="J463" s="380"/>
    </row>
    <row r="464" spans="2:10">
      <c r="B464" s="378"/>
      <c r="C464" s="380"/>
      <c r="D464" s="380"/>
      <c r="E464" s="380"/>
      <c r="F464" s="380"/>
      <c r="G464" s="380"/>
      <c r="H464" s="380"/>
      <c r="I464" s="379"/>
      <c r="J464" s="380"/>
    </row>
    <row r="465" spans="2:10">
      <c r="B465" s="378"/>
      <c r="C465" s="380"/>
      <c r="D465" s="380"/>
      <c r="E465" s="380"/>
      <c r="F465" s="380"/>
      <c r="G465" s="380"/>
      <c r="H465" s="380"/>
      <c r="I465" s="379"/>
      <c r="J465" s="380"/>
    </row>
    <row r="466" spans="2:10">
      <c r="B466" s="378"/>
      <c r="C466" s="380"/>
      <c r="D466" s="380"/>
      <c r="E466" s="380"/>
      <c r="F466" s="380"/>
      <c r="G466" s="380"/>
      <c r="H466" s="380"/>
      <c r="I466" s="379"/>
      <c r="J466" s="380"/>
    </row>
    <row r="467" spans="2:10">
      <c r="B467" s="378"/>
      <c r="C467" s="380"/>
      <c r="D467" s="380"/>
      <c r="E467" s="380"/>
      <c r="F467" s="380"/>
      <c r="G467" s="380"/>
      <c r="H467" s="380"/>
      <c r="I467" s="379"/>
      <c r="J467" s="380"/>
    </row>
    <row r="468" spans="2:10">
      <c r="B468" s="378"/>
      <c r="C468" s="380"/>
      <c r="D468" s="380"/>
      <c r="E468" s="380"/>
      <c r="F468" s="380"/>
      <c r="G468" s="380"/>
      <c r="H468" s="380"/>
      <c r="I468" s="379"/>
      <c r="J468" s="380"/>
    </row>
    <row r="469" spans="2:10">
      <c r="B469" s="378"/>
      <c r="C469" s="380"/>
      <c r="D469" s="380"/>
      <c r="E469" s="380"/>
      <c r="F469" s="380"/>
      <c r="G469" s="380"/>
      <c r="H469" s="380"/>
      <c r="I469" s="379"/>
      <c r="J469" s="380"/>
    </row>
    <row r="470" spans="2:10">
      <c r="B470" s="378"/>
      <c r="C470" s="380"/>
      <c r="D470" s="380"/>
      <c r="E470" s="380"/>
      <c r="F470" s="380"/>
      <c r="G470" s="380"/>
      <c r="H470" s="380"/>
      <c r="I470" s="379"/>
      <c r="J470" s="380"/>
    </row>
    <row r="471" spans="2:10">
      <c r="B471" s="378"/>
      <c r="C471" s="380"/>
      <c r="D471" s="380"/>
      <c r="E471" s="380"/>
      <c r="F471" s="380"/>
      <c r="G471" s="380"/>
      <c r="H471" s="380"/>
      <c r="I471" s="379"/>
      <c r="J471" s="380"/>
    </row>
    <row r="472" spans="2:10">
      <c r="B472" s="378"/>
      <c r="C472" s="380"/>
      <c r="D472" s="380"/>
      <c r="E472" s="380"/>
      <c r="F472" s="380"/>
      <c r="G472" s="380"/>
      <c r="H472" s="380"/>
      <c r="I472" s="379"/>
      <c r="J472" s="380"/>
    </row>
    <row r="473" spans="2:10">
      <c r="B473" s="378"/>
      <c r="C473" s="380"/>
      <c r="D473" s="380"/>
      <c r="E473" s="380"/>
      <c r="F473" s="380"/>
      <c r="G473" s="380"/>
      <c r="H473" s="380"/>
      <c r="I473" s="379"/>
      <c r="J473" s="380"/>
    </row>
    <row r="474" spans="2:10">
      <c r="B474" s="378"/>
      <c r="C474" s="380"/>
      <c r="D474" s="380"/>
      <c r="E474" s="380"/>
      <c r="F474" s="380"/>
      <c r="G474" s="380"/>
      <c r="H474" s="380"/>
      <c r="I474" s="379"/>
      <c r="J474" s="380"/>
    </row>
    <row r="475" spans="2:10">
      <c r="B475" s="378"/>
      <c r="C475" s="380"/>
      <c r="D475" s="380"/>
      <c r="E475" s="380"/>
      <c r="F475" s="380"/>
      <c r="G475" s="380"/>
      <c r="H475" s="380"/>
      <c r="I475" s="379"/>
      <c r="J475" s="380"/>
    </row>
    <row r="476" spans="2:10">
      <c r="B476" s="378"/>
      <c r="C476" s="380"/>
      <c r="D476" s="380"/>
      <c r="E476" s="380"/>
      <c r="F476" s="380"/>
      <c r="G476" s="380"/>
      <c r="H476" s="380"/>
      <c r="I476" s="379"/>
      <c r="J476" s="380"/>
    </row>
    <row r="477" spans="2:10">
      <c r="B477" s="378"/>
      <c r="C477" s="380"/>
      <c r="D477" s="380"/>
      <c r="E477" s="380"/>
      <c r="F477" s="380"/>
      <c r="G477" s="380"/>
      <c r="H477" s="380"/>
      <c r="I477" s="379"/>
      <c r="J477" s="380"/>
    </row>
    <row r="478" spans="2:10">
      <c r="B478" s="378"/>
      <c r="C478" s="380"/>
      <c r="D478" s="380"/>
      <c r="E478" s="380"/>
      <c r="F478" s="380"/>
      <c r="G478" s="380"/>
      <c r="H478" s="380"/>
      <c r="I478" s="379"/>
      <c r="J478" s="380"/>
    </row>
    <row r="479" spans="2:10">
      <c r="B479" s="378"/>
      <c r="C479" s="380"/>
      <c r="D479" s="380"/>
      <c r="E479" s="380"/>
      <c r="F479" s="380"/>
      <c r="G479" s="380"/>
      <c r="H479" s="380"/>
      <c r="I479" s="379"/>
      <c r="J479" s="380"/>
    </row>
    <row r="480" spans="2:10">
      <c r="B480" s="378"/>
      <c r="C480" s="380"/>
      <c r="D480" s="380"/>
      <c r="E480" s="380"/>
      <c r="F480" s="380"/>
      <c r="G480" s="380"/>
      <c r="H480" s="380"/>
      <c r="I480" s="379"/>
      <c r="J480" s="380"/>
    </row>
    <row r="481" spans="2:10">
      <c r="B481" s="378"/>
      <c r="C481" s="380"/>
      <c r="D481" s="380"/>
      <c r="E481" s="380"/>
      <c r="F481" s="380"/>
      <c r="G481" s="380"/>
      <c r="H481" s="380"/>
      <c r="I481" s="379"/>
      <c r="J481" s="380"/>
    </row>
    <row r="482" spans="2:10">
      <c r="B482" s="378"/>
      <c r="C482" s="380"/>
      <c r="D482" s="380"/>
      <c r="E482" s="380"/>
      <c r="F482" s="380"/>
      <c r="G482" s="380"/>
      <c r="H482" s="380"/>
      <c r="I482" s="379"/>
      <c r="J482" s="380"/>
    </row>
    <row r="483" spans="2:10">
      <c r="B483" s="378"/>
      <c r="C483" s="380"/>
      <c r="D483" s="380"/>
      <c r="E483" s="380"/>
      <c r="F483" s="380"/>
      <c r="G483" s="380"/>
      <c r="H483" s="380"/>
      <c r="I483" s="379"/>
      <c r="J483" s="380"/>
    </row>
    <row r="484" spans="2:10">
      <c r="B484" s="378"/>
      <c r="C484" s="380"/>
      <c r="D484" s="380"/>
      <c r="E484" s="380"/>
      <c r="F484" s="380"/>
      <c r="G484" s="380"/>
      <c r="H484" s="380"/>
      <c r="I484" s="379"/>
      <c r="J484" s="380"/>
    </row>
    <row r="485" spans="2:10">
      <c r="B485" s="378"/>
      <c r="C485" s="380"/>
      <c r="D485" s="380"/>
      <c r="E485" s="380"/>
      <c r="F485" s="380"/>
      <c r="G485" s="380"/>
      <c r="H485" s="380"/>
      <c r="I485" s="379"/>
      <c r="J485" s="380"/>
    </row>
    <row r="486" spans="2:10">
      <c r="B486" s="378"/>
      <c r="C486" s="380"/>
      <c r="D486" s="380"/>
      <c r="E486" s="380"/>
      <c r="F486" s="380"/>
      <c r="G486" s="380"/>
      <c r="H486" s="380"/>
      <c r="I486" s="379"/>
      <c r="J486" s="380"/>
    </row>
    <row r="487" spans="2:10">
      <c r="B487" s="378"/>
      <c r="C487" s="380"/>
      <c r="D487" s="380"/>
      <c r="E487" s="380"/>
      <c r="F487" s="380"/>
      <c r="G487" s="380"/>
      <c r="H487" s="380"/>
      <c r="I487" s="379"/>
      <c r="J487" s="380"/>
    </row>
    <row r="488" spans="2:10">
      <c r="B488" s="378"/>
      <c r="C488" s="380"/>
      <c r="D488" s="380"/>
      <c r="E488" s="380"/>
      <c r="F488" s="380"/>
      <c r="G488" s="380"/>
      <c r="H488" s="380"/>
      <c r="I488" s="379"/>
      <c r="J488" s="380"/>
    </row>
    <row r="489" spans="2:10">
      <c r="B489" s="378"/>
      <c r="C489" s="380"/>
      <c r="D489" s="380"/>
      <c r="E489" s="380"/>
      <c r="F489" s="380"/>
      <c r="G489" s="380"/>
      <c r="H489" s="380"/>
      <c r="I489" s="379"/>
      <c r="J489" s="380"/>
    </row>
    <row r="490" spans="2:10">
      <c r="B490" s="378"/>
      <c r="C490" s="380"/>
      <c r="D490" s="380"/>
      <c r="E490" s="380"/>
      <c r="F490" s="380"/>
      <c r="G490" s="380"/>
      <c r="H490" s="380"/>
      <c r="I490" s="379"/>
      <c r="J490" s="380"/>
    </row>
    <row r="491" spans="2:10">
      <c r="B491" s="378"/>
      <c r="C491" s="380"/>
      <c r="D491" s="380"/>
      <c r="E491" s="380"/>
      <c r="F491" s="380"/>
      <c r="G491" s="380"/>
      <c r="H491" s="380"/>
      <c r="I491" s="379"/>
      <c r="J491" s="380"/>
    </row>
    <row r="492" spans="2:10">
      <c r="B492" s="378"/>
      <c r="C492" s="380"/>
      <c r="D492" s="380"/>
      <c r="E492" s="380"/>
      <c r="F492" s="380"/>
      <c r="G492" s="380"/>
      <c r="H492" s="380"/>
      <c r="I492" s="379"/>
      <c r="J492" s="380"/>
    </row>
    <row r="493" spans="2:10">
      <c r="B493" s="378"/>
      <c r="C493" s="380"/>
      <c r="D493" s="380"/>
      <c r="E493" s="380"/>
      <c r="F493" s="380"/>
      <c r="G493" s="380"/>
      <c r="H493" s="380"/>
      <c r="I493" s="379"/>
      <c r="J493" s="380"/>
    </row>
    <row r="494" spans="2:10">
      <c r="B494" s="378"/>
      <c r="C494" s="380"/>
      <c r="D494" s="380"/>
      <c r="E494" s="380"/>
      <c r="F494" s="380"/>
      <c r="G494" s="380"/>
      <c r="H494" s="380"/>
      <c r="I494" s="379"/>
      <c r="J494" s="380"/>
    </row>
    <row r="495" spans="2:10">
      <c r="B495" s="378"/>
      <c r="C495" s="380"/>
      <c r="D495" s="380"/>
      <c r="E495" s="380"/>
      <c r="F495" s="380"/>
      <c r="G495" s="380"/>
      <c r="H495" s="380"/>
      <c r="I495" s="379"/>
      <c r="J495" s="380"/>
    </row>
    <row r="496" spans="2:10">
      <c r="B496" s="378"/>
      <c r="C496" s="380"/>
      <c r="D496" s="380"/>
      <c r="E496" s="380"/>
      <c r="F496" s="380"/>
      <c r="G496" s="380"/>
      <c r="H496" s="380"/>
      <c r="I496" s="379"/>
      <c r="J496" s="380"/>
    </row>
    <row r="497" spans="2:10">
      <c r="B497" s="378"/>
      <c r="C497" s="380"/>
      <c r="D497" s="380"/>
      <c r="E497" s="380"/>
      <c r="F497" s="380"/>
      <c r="G497" s="380"/>
      <c r="H497" s="380"/>
      <c r="I497" s="379"/>
      <c r="J497" s="380"/>
    </row>
    <row r="498" spans="2:10">
      <c r="B498" s="378"/>
      <c r="C498" s="380"/>
      <c r="D498" s="380"/>
      <c r="E498" s="380"/>
      <c r="F498" s="380"/>
      <c r="G498" s="380"/>
      <c r="H498" s="380"/>
      <c r="I498" s="379"/>
      <c r="J498" s="380"/>
    </row>
    <row r="499" spans="2:10">
      <c r="B499" s="378"/>
      <c r="C499" s="380"/>
      <c r="D499" s="380"/>
      <c r="E499" s="380"/>
      <c r="F499" s="380"/>
      <c r="G499" s="380"/>
      <c r="H499" s="380"/>
      <c r="I499" s="379"/>
      <c r="J499" s="380"/>
    </row>
    <row r="500" spans="2:10">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3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39937" r:id="rId3" name="cmdCheckTSandTIDDataSheet"/>
      </mc:Fallback>
    </mc:AlternateContent>
    <mc:AlternateContent xmlns:mc="http://schemas.openxmlformats.org/markup-compatibility/2006">
      <mc:Choice Requires="x14">
        <control shapeId="3993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39938" r:id="rId5" name="cmdSpecifyParameter"/>
      </mc:Fallback>
    </mc:AlternateContent>
    <mc:AlternateContent xmlns:mc="http://schemas.openxmlformats.org/markup-compatibility/2006">
      <mc:Choice Requires="x14">
        <control shapeId="3993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39939" r:id="rId7" name="cmdSpecifyArg1"/>
      </mc:Fallback>
    </mc:AlternateContent>
    <mc:AlternateContent xmlns:mc="http://schemas.openxmlformats.org/markup-compatibility/2006">
      <mc:Choice Requires="x14">
        <control shapeId="3994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39940" r:id="rId9" name="cmdSpecifyArg2"/>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39941" r:id="rId11" name="cmdSpecifyArg3"/>
      </mc:Fallback>
    </mc:AlternateContent>
    <mc:AlternateContent xmlns:mc="http://schemas.openxmlformats.org/markup-compatibility/2006">
      <mc:Choice Requires="x14">
        <control shapeId="3994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39942" r:id="rId13" name="cmdSpecifyArg4"/>
      </mc:Fallback>
    </mc:AlternateContent>
    <mc:AlternateContent xmlns:mc="http://schemas.openxmlformats.org/markup-compatibility/2006">
      <mc:Choice Requires="x14">
        <control shapeId="3994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39943" r:id="rId15" name="cmdSpecifyArg5"/>
      </mc:Fallback>
    </mc:AlternateContent>
    <mc:AlternateContent xmlns:mc="http://schemas.openxmlformats.org/markup-compatibility/2006">
      <mc:Choice Requires="x14">
        <control shapeId="3994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39944" r:id="rId17" name="cmdSpecifyArg6"/>
      </mc:Fallback>
    </mc:AlternateContent>
    <mc:AlternateContent xmlns:mc="http://schemas.openxmlformats.org/markup-compatibility/2006">
      <mc:Choice Requires="x14">
        <control shapeId="3994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39945" r:id="rId19" name="cmdSpecifyIEOptcode"/>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c r="A8" s="376" t="s">
        <v>709</v>
      </c>
      <c r="B8" s="375"/>
      <c r="C8" s="375"/>
      <c r="D8" s="375"/>
      <c r="E8" s="375"/>
      <c r="F8" s="375"/>
      <c r="G8" s="375"/>
      <c r="H8" s="375"/>
      <c r="I8" s="377"/>
    </row>
    <row r="9" spans="1:15">
      <c r="A9" s="376" t="s">
        <v>709</v>
      </c>
      <c r="B9" s="378" t="s">
        <v>767</v>
      </c>
      <c r="C9" s="378" t="s">
        <v>463</v>
      </c>
      <c r="D9" s="378" t="s">
        <v>750</v>
      </c>
      <c r="E9" s="378" t="s">
        <v>463</v>
      </c>
      <c r="F9" s="378" t="s">
        <v>463</v>
      </c>
      <c r="G9" s="378" t="s">
        <v>768</v>
      </c>
      <c r="H9" s="378" t="s">
        <v>463</v>
      </c>
      <c r="I9" s="379">
        <v>0</v>
      </c>
    </row>
    <row r="10" spans="1:1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7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7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7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7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7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7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7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7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c r="B154" s="378"/>
      <c r="C154" s="380"/>
      <c r="D154" s="380"/>
      <c r="E154" s="380"/>
      <c r="F154" s="380"/>
      <c r="G154" s="380"/>
      <c r="H154" s="380"/>
      <c r="I154" s="379"/>
      <c r="J154" s="380"/>
    </row>
    <row r="155" spans="1:10">
      <c r="B155" s="378"/>
      <c r="C155" s="380"/>
      <c r="D155" s="380"/>
      <c r="E155" s="380"/>
      <c r="F155" s="380"/>
      <c r="G155" s="380"/>
      <c r="H155" s="380"/>
      <c r="I155" s="379"/>
      <c r="J155" s="380"/>
    </row>
    <row r="156" spans="1:10">
      <c r="B156" s="378"/>
      <c r="C156" s="380"/>
      <c r="D156" s="380"/>
      <c r="E156" s="380"/>
      <c r="F156" s="380"/>
      <c r="G156" s="380"/>
      <c r="H156" s="380"/>
      <c r="I156" s="379"/>
      <c r="J156" s="380"/>
    </row>
    <row r="157" spans="1:10">
      <c r="B157" s="378"/>
      <c r="C157" s="380"/>
      <c r="D157" s="380"/>
      <c r="E157" s="380"/>
      <c r="F157" s="380"/>
      <c r="G157" s="380"/>
      <c r="H157" s="380"/>
      <c r="I157" s="379"/>
      <c r="J157" s="380"/>
    </row>
    <row r="158" spans="1:10">
      <c r="B158" s="378"/>
      <c r="C158" s="380"/>
      <c r="D158" s="380"/>
      <c r="E158" s="380"/>
      <c r="F158" s="380"/>
      <c r="G158" s="380"/>
      <c r="H158" s="380"/>
      <c r="I158" s="379"/>
      <c r="J158" s="380"/>
    </row>
    <row r="159" spans="1:10">
      <c r="B159" s="378"/>
      <c r="C159" s="380"/>
      <c r="D159" s="380"/>
      <c r="E159" s="380"/>
      <c r="F159" s="380"/>
      <c r="G159" s="380"/>
      <c r="H159" s="380"/>
      <c r="I159" s="379"/>
      <c r="J159" s="380"/>
    </row>
    <row r="160" spans="1:10">
      <c r="B160" s="378"/>
      <c r="C160" s="380"/>
      <c r="D160" s="380"/>
      <c r="E160" s="380"/>
      <c r="F160" s="380"/>
      <c r="G160" s="380"/>
      <c r="H160" s="380"/>
      <c r="I160" s="379"/>
      <c r="J160" s="380"/>
    </row>
    <row r="161" spans="2:10">
      <c r="B161" s="378"/>
      <c r="C161" s="380"/>
      <c r="D161" s="380"/>
      <c r="E161" s="380"/>
      <c r="F161" s="380"/>
      <c r="G161" s="380"/>
      <c r="H161" s="380"/>
      <c r="I161" s="379"/>
      <c r="J161" s="380"/>
    </row>
    <row r="162" spans="2:10">
      <c r="B162" s="378"/>
      <c r="C162" s="380"/>
      <c r="D162" s="380"/>
      <c r="E162" s="380"/>
      <c r="F162" s="380"/>
      <c r="G162" s="380"/>
      <c r="H162" s="380"/>
      <c r="I162" s="379"/>
      <c r="J162" s="380"/>
    </row>
    <row r="163" spans="2:10">
      <c r="B163" s="378"/>
      <c r="C163" s="380"/>
      <c r="D163" s="380"/>
      <c r="E163" s="380"/>
      <c r="F163" s="380"/>
      <c r="G163" s="380"/>
      <c r="H163" s="380"/>
      <c r="I163" s="379"/>
      <c r="J163" s="380"/>
    </row>
    <row r="164" spans="2:10">
      <c r="B164" s="378"/>
      <c r="C164" s="380"/>
      <c r="D164" s="380"/>
      <c r="E164" s="380"/>
      <c r="F164" s="380"/>
      <c r="G164" s="380"/>
      <c r="H164" s="380"/>
      <c r="I164" s="379"/>
      <c r="J164" s="380"/>
    </row>
    <row r="165" spans="2:10">
      <c r="B165" s="378"/>
      <c r="C165" s="380"/>
      <c r="D165" s="380"/>
      <c r="E165" s="380"/>
      <c r="F165" s="380"/>
      <c r="G165" s="380"/>
      <c r="H165" s="380"/>
      <c r="I165" s="379"/>
      <c r="J165" s="380"/>
    </row>
    <row r="166" spans="2:10">
      <c r="B166" s="378"/>
      <c r="C166" s="380"/>
      <c r="D166" s="380"/>
      <c r="E166" s="380"/>
      <c r="F166" s="380"/>
      <c r="G166" s="380"/>
      <c r="H166" s="380"/>
      <c r="I166" s="379"/>
      <c r="J166" s="380"/>
    </row>
    <row r="167" spans="2:10">
      <c r="B167" s="378"/>
      <c r="C167" s="380"/>
      <c r="D167" s="380"/>
      <c r="E167" s="380"/>
      <c r="F167" s="380"/>
      <c r="G167" s="380"/>
      <c r="H167" s="380"/>
      <c r="I167" s="379"/>
      <c r="J167" s="380"/>
    </row>
    <row r="168" spans="2:10">
      <c r="B168" s="378"/>
      <c r="C168" s="380"/>
      <c r="D168" s="380"/>
      <c r="E168" s="380"/>
      <c r="F168" s="380"/>
      <c r="G168" s="380"/>
      <c r="H168" s="380"/>
      <c r="I168" s="379"/>
      <c r="J168" s="380"/>
    </row>
    <row r="169" spans="2:10">
      <c r="B169" s="378"/>
      <c r="C169" s="380"/>
      <c r="D169" s="380"/>
      <c r="E169" s="380"/>
      <c r="F169" s="380"/>
      <c r="G169" s="380"/>
      <c r="H169" s="380"/>
      <c r="I169" s="379"/>
      <c r="J169" s="380"/>
    </row>
    <row r="170" spans="2:10">
      <c r="B170" s="378"/>
      <c r="C170" s="380"/>
      <c r="D170" s="380"/>
      <c r="E170" s="380"/>
      <c r="F170" s="380"/>
      <c r="G170" s="380"/>
      <c r="H170" s="380"/>
      <c r="I170" s="379"/>
      <c r="J170" s="380"/>
    </row>
    <row r="171" spans="2:10">
      <c r="B171" s="378"/>
      <c r="C171" s="380"/>
      <c r="D171" s="380"/>
      <c r="E171" s="380"/>
      <c r="F171" s="380"/>
      <c r="G171" s="380"/>
      <c r="H171" s="380"/>
      <c r="I171" s="379"/>
      <c r="J171" s="380"/>
    </row>
    <row r="172" spans="2:10">
      <c r="B172" s="378"/>
      <c r="C172" s="380"/>
      <c r="D172" s="380"/>
      <c r="E172" s="380"/>
      <c r="F172" s="380"/>
      <c r="G172" s="380"/>
      <c r="H172" s="380"/>
      <c r="I172" s="379"/>
      <c r="J172" s="380"/>
    </row>
    <row r="173" spans="2:10">
      <c r="B173" s="378"/>
      <c r="C173" s="380"/>
      <c r="D173" s="380"/>
      <c r="E173" s="380"/>
      <c r="F173" s="380"/>
      <c r="G173" s="380"/>
      <c r="H173" s="380"/>
      <c r="I173" s="379"/>
      <c r="J173" s="380"/>
    </row>
    <row r="174" spans="2:10">
      <c r="B174" s="378"/>
      <c r="C174" s="380"/>
      <c r="D174" s="380"/>
      <c r="E174" s="380"/>
      <c r="F174" s="380"/>
      <c r="G174" s="380"/>
      <c r="H174" s="380"/>
      <c r="I174" s="379"/>
      <c r="J174" s="380"/>
    </row>
    <row r="175" spans="2:10">
      <c r="B175" s="378"/>
      <c r="C175" s="380"/>
      <c r="D175" s="380"/>
      <c r="E175" s="380"/>
      <c r="F175" s="380"/>
      <c r="G175" s="380"/>
      <c r="H175" s="380"/>
      <c r="I175" s="379"/>
      <c r="J175" s="380"/>
    </row>
    <row r="176" spans="2:10">
      <c r="B176" s="378"/>
      <c r="C176" s="380"/>
      <c r="D176" s="380"/>
      <c r="E176" s="380"/>
      <c r="F176" s="380"/>
      <c r="G176" s="380"/>
      <c r="H176" s="380"/>
      <c r="I176" s="379"/>
      <c r="J176" s="380"/>
    </row>
    <row r="177" spans="2:10">
      <c r="B177" s="378"/>
      <c r="C177" s="380"/>
      <c r="D177" s="380"/>
      <c r="E177" s="380"/>
      <c r="F177" s="380"/>
      <c r="G177" s="380"/>
      <c r="H177" s="380"/>
      <c r="I177" s="379"/>
      <c r="J177" s="380"/>
    </row>
    <row r="178" spans="2:10">
      <c r="B178" s="378"/>
      <c r="C178" s="380"/>
      <c r="D178" s="380"/>
      <c r="E178" s="380"/>
      <c r="F178" s="380"/>
      <c r="G178" s="380"/>
      <c r="H178" s="380"/>
      <c r="I178" s="379"/>
      <c r="J178" s="380"/>
    </row>
    <row r="179" spans="2:10">
      <c r="B179" s="378"/>
      <c r="C179" s="380"/>
      <c r="D179" s="380"/>
      <c r="E179" s="380"/>
      <c r="F179" s="380"/>
      <c r="G179" s="380"/>
      <c r="H179" s="380"/>
      <c r="I179" s="379"/>
      <c r="J179" s="380"/>
    </row>
    <row r="180" spans="2:10">
      <c r="B180" s="378"/>
      <c r="C180" s="380"/>
      <c r="D180" s="380"/>
      <c r="E180" s="380"/>
      <c r="F180" s="380"/>
      <c r="G180" s="380"/>
      <c r="H180" s="380"/>
      <c r="I180" s="379"/>
      <c r="J180" s="380"/>
    </row>
    <row r="181" spans="2:10">
      <c r="B181" s="378"/>
      <c r="C181" s="380"/>
      <c r="D181" s="380"/>
      <c r="E181" s="380"/>
      <c r="F181" s="380"/>
      <c r="G181" s="380"/>
      <c r="H181" s="380"/>
      <c r="I181" s="379"/>
      <c r="J181" s="380"/>
    </row>
    <row r="182" spans="2:10">
      <c r="B182" s="378"/>
      <c r="C182" s="380"/>
      <c r="D182" s="380"/>
      <c r="E182" s="380"/>
      <c r="F182" s="380"/>
      <c r="G182" s="380"/>
      <c r="H182" s="380"/>
      <c r="I182" s="379"/>
      <c r="J182" s="380"/>
    </row>
    <row r="183" spans="2:10">
      <c r="B183" s="378"/>
      <c r="C183" s="380"/>
      <c r="D183" s="380"/>
      <c r="E183" s="380"/>
      <c r="F183" s="380"/>
      <c r="G183" s="380"/>
      <c r="H183" s="380"/>
      <c r="I183" s="379"/>
      <c r="J183" s="380"/>
    </row>
    <row r="184" spans="2:10">
      <c r="B184" s="378"/>
      <c r="C184" s="380"/>
      <c r="D184" s="380"/>
      <c r="E184" s="380"/>
      <c r="F184" s="380"/>
      <c r="G184" s="380"/>
      <c r="H184" s="380"/>
      <c r="I184" s="379"/>
      <c r="J184" s="380"/>
    </row>
    <row r="185" spans="2:10">
      <c r="B185" s="378"/>
      <c r="C185" s="380"/>
      <c r="D185" s="380"/>
      <c r="E185" s="380"/>
      <c r="F185" s="380"/>
      <c r="G185" s="380"/>
      <c r="H185" s="380"/>
      <c r="I185" s="379"/>
      <c r="J185" s="380"/>
    </row>
    <row r="186" spans="2:10">
      <c r="B186" s="378"/>
      <c r="C186" s="380"/>
      <c r="D186" s="380"/>
      <c r="E186" s="380"/>
      <c r="F186" s="380"/>
      <c r="G186" s="380"/>
      <c r="H186" s="380"/>
      <c r="I186" s="379"/>
      <c r="J186" s="380"/>
    </row>
    <row r="187" spans="2:10">
      <c r="B187" s="378"/>
      <c r="C187" s="380"/>
      <c r="D187" s="380"/>
      <c r="E187" s="380"/>
      <c r="F187" s="380"/>
      <c r="G187" s="380"/>
      <c r="H187" s="380"/>
      <c r="I187" s="379"/>
      <c r="J187" s="380"/>
    </row>
    <row r="188" spans="2:10">
      <c r="B188" s="378"/>
      <c r="C188" s="380"/>
      <c r="D188" s="380"/>
      <c r="E188" s="380"/>
      <c r="F188" s="380"/>
      <c r="G188" s="380"/>
      <c r="H188" s="380"/>
      <c r="I188" s="379"/>
      <c r="J188" s="380"/>
    </row>
    <row r="189" spans="2:10">
      <c r="B189" s="378"/>
      <c r="C189" s="380"/>
      <c r="D189" s="380"/>
      <c r="E189" s="380"/>
      <c r="F189" s="380"/>
      <c r="G189" s="380"/>
      <c r="H189" s="380"/>
      <c r="I189" s="379"/>
      <c r="J189" s="380"/>
    </row>
    <row r="190" spans="2:10">
      <c r="B190" s="378"/>
      <c r="C190" s="380"/>
      <c r="D190" s="380"/>
      <c r="E190" s="380"/>
      <c r="F190" s="380"/>
      <c r="G190" s="380"/>
      <c r="H190" s="380"/>
      <c r="I190" s="379"/>
      <c r="J190" s="380"/>
    </row>
    <row r="191" spans="2:10">
      <c r="B191" s="378"/>
      <c r="C191" s="380"/>
      <c r="D191" s="380"/>
      <c r="E191" s="380"/>
      <c r="F191" s="380"/>
      <c r="G191" s="380"/>
      <c r="H191" s="380"/>
      <c r="I191" s="379"/>
      <c r="J191" s="380"/>
    </row>
    <row r="192" spans="2:10">
      <c r="B192" s="378"/>
      <c r="C192" s="380"/>
      <c r="D192" s="380"/>
      <c r="E192" s="380"/>
      <c r="F192" s="380"/>
      <c r="G192" s="380"/>
      <c r="H192" s="380"/>
      <c r="I192" s="379"/>
      <c r="J192" s="380"/>
    </row>
    <row r="193" spans="2:10">
      <c r="B193" s="378"/>
      <c r="C193" s="380"/>
      <c r="D193" s="380"/>
      <c r="E193" s="380"/>
      <c r="F193" s="380"/>
      <c r="G193" s="380"/>
      <c r="H193" s="380"/>
      <c r="I193" s="379"/>
      <c r="J193" s="380"/>
    </row>
    <row r="194" spans="2:10">
      <c r="B194" s="378"/>
      <c r="C194" s="380"/>
      <c r="D194" s="380"/>
      <c r="E194" s="380"/>
      <c r="F194" s="380"/>
      <c r="G194" s="380"/>
      <c r="H194" s="380"/>
      <c r="I194" s="379"/>
      <c r="J194" s="380"/>
    </row>
    <row r="195" spans="2:10">
      <c r="B195" s="378"/>
      <c r="C195" s="380"/>
      <c r="D195" s="380"/>
      <c r="E195" s="380"/>
      <c r="F195" s="380"/>
      <c r="G195" s="380"/>
      <c r="H195" s="380"/>
      <c r="I195" s="379"/>
      <c r="J195" s="380"/>
    </row>
    <row r="196" spans="2:10">
      <c r="B196" s="378"/>
      <c r="C196" s="380"/>
      <c r="D196" s="380"/>
      <c r="E196" s="380"/>
      <c r="F196" s="380"/>
      <c r="G196" s="380"/>
      <c r="H196" s="380"/>
      <c r="I196" s="379"/>
      <c r="J196" s="380"/>
    </row>
    <row r="197" spans="2:10">
      <c r="B197" s="378"/>
      <c r="C197" s="380"/>
      <c r="D197" s="380"/>
      <c r="E197" s="380"/>
      <c r="F197" s="380"/>
      <c r="G197" s="380"/>
      <c r="H197" s="380"/>
      <c r="I197" s="379"/>
      <c r="J197" s="380"/>
    </row>
    <row r="198" spans="2:10">
      <c r="B198" s="378"/>
      <c r="C198" s="380"/>
      <c r="D198" s="380"/>
      <c r="E198" s="380"/>
      <c r="F198" s="380"/>
      <c r="G198" s="380"/>
      <c r="H198" s="380"/>
      <c r="I198" s="379"/>
      <c r="J198" s="380"/>
    </row>
    <row r="199" spans="2:10">
      <c r="B199" s="378"/>
      <c r="C199" s="380"/>
      <c r="D199" s="380"/>
      <c r="E199" s="380"/>
      <c r="F199" s="380"/>
      <c r="G199" s="380"/>
      <c r="H199" s="380"/>
      <c r="I199" s="379"/>
      <c r="J199" s="380"/>
    </row>
    <row r="200" spans="2:10">
      <c r="B200" s="378"/>
      <c r="C200" s="380"/>
      <c r="D200" s="380"/>
      <c r="E200" s="380"/>
      <c r="F200" s="380"/>
      <c r="G200" s="380"/>
      <c r="H200" s="380"/>
      <c r="I200" s="379"/>
      <c r="J200" s="380"/>
    </row>
    <row r="201" spans="2:10">
      <c r="B201" s="378"/>
      <c r="C201" s="380"/>
      <c r="D201" s="380"/>
      <c r="E201" s="380"/>
      <c r="F201" s="380"/>
      <c r="G201" s="380"/>
      <c r="H201" s="380"/>
      <c r="I201" s="379"/>
      <c r="J201" s="380"/>
    </row>
    <row r="202" spans="2:10">
      <c r="B202" s="378"/>
      <c r="C202" s="380"/>
      <c r="D202" s="380"/>
      <c r="E202" s="380"/>
      <c r="F202" s="380"/>
      <c r="G202" s="380"/>
      <c r="H202" s="380"/>
      <c r="I202" s="379"/>
      <c r="J202" s="380"/>
    </row>
    <row r="203" spans="2:10">
      <c r="B203" s="378"/>
      <c r="C203" s="380"/>
      <c r="D203" s="380"/>
      <c r="E203" s="380"/>
      <c r="F203" s="380"/>
      <c r="G203" s="380"/>
      <c r="H203" s="380"/>
      <c r="I203" s="379"/>
      <c r="J203" s="380"/>
    </row>
    <row r="204" spans="2:10">
      <c r="B204" s="378"/>
      <c r="C204" s="380"/>
      <c r="D204" s="380"/>
      <c r="E204" s="380"/>
      <c r="F204" s="380"/>
      <c r="G204" s="380"/>
      <c r="H204" s="380"/>
      <c r="I204" s="379"/>
      <c r="J204" s="380"/>
    </row>
    <row r="205" spans="2:10">
      <c r="B205" s="378"/>
      <c r="C205" s="380"/>
      <c r="D205" s="380"/>
      <c r="E205" s="380"/>
      <c r="F205" s="380"/>
      <c r="G205" s="380"/>
      <c r="H205" s="380"/>
      <c r="I205" s="379"/>
      <c r="J205" s="380"/>
    </row>
    <row r="206" spans="2:10">
      <c r="B206" s="378"/>
      <c r="C206" s="380"/>
      <c r="D206" s="380"/>
      <c r="E206" s="380"/>
      <c r="F206" s="380"/>
      <c r="G206" s="380"/>
      <c r="H206" s="380"/>
      <c r="I206" s="379"/>
      <c r="J206" s="380"/>
    </row>
    <row r="207" spans="2:10">
      <c r="B207" s="378"/>
      <c r="C207" s="380"/>
      <c r="D207" s="380"/>
      <c r="E207" s="380"/>
      <c r="F207" s="380"/>
      <c r="G207" s="380"/>
      <c r="H207" s="380"/>
      <c r="I207" s="379"/>
      <c r="J207" s="380"/>
    </row>
    <row r="208" spans="2:10">
      <c r="B208" s="378"/>
      <c r="C208" s="380"/>
      <c r="D208" s="380"/>
      <c r="E208" s="380"/>
      <c r="F208" s="380"/>
      <c r="G208" s="380"/>
      <c r="H208" s="380"/>
      <c r="I208" s="379"/>
      <c r="J208" s="380"/>
    </row>
    <row r="209" spans="2:10">
      <c r="B209" s="378"/>
      <c r="C209" s="380"/>
      <c r="D209" s="380"/>
      <c r="E209" s="380"/>
      <c r="F209" s="380"/>
      <c r="G209" s="380"/>
      <c r="H209" s="380"/>
      <c r="I209" s="379"/>
      <c r="J209" s="380"/>
    </row>
    <row r="210" spans="2:10">
      <c r="B210" s="378"/>
      <c r="C210" s="380"/>
      <c r="D210" s="380"/>
      <c r="E210" s="380"/>
      <c r="F210" s="380"/>
      <c r="G210" s="380"/>
      <c r="H210" s="380"/>
      <c r="I210" s="379"/>
      <c r="J210" s="380"/>
    </row>
    <row r="211" spans="2:10">
      <c r="B211" s="378"/>
      <c r="C211" s="380"/>
      <c r="D211" s="380"/>
      <c r="E211" s="380"/>
      <c r="F211" s="380"/>
      <c r="G211" s="380"/>
      <c r="H211" s="380"/>
      <c r="I211" s="379"/>
      <c r="J211" s="380"/>
    </row>
    <row r="212" spans="2:10">
      <c r="B212" s="378"/>
      <c r="C212" s="380"/>
      <c r="D212" s="380"/>
      <c r="E212" s="380"/>
      <c r="F212" s="380"/>
      <c r="G212" s="380"/>
      <c r="H212" s="380"/>
      <c r="I212" s="379"/>
      <c r="J212" s="380"/>
    </row>
    <row r="213" spans="2:10">
      <c r="B213" s="378"/>
      <c r="C213" s="380"/>
      <c r="D213" s="380"/>
      <c r="E213" s="380"/>
      <c r="F213" s="380"/>
      <c r="G213" s="380"/>
      <c r="H213" s="380"/>
      <c r="I213" s="379"/>
      <c r="J213" s="380"/>
    </row>
    <row r="214" spans="2:10">
      <c r="B214" s="378"/>
      <c r="C214" s="380"/>
      <c r="D214" s="380"/>
      <c r="E214" s="380"/>
      <c r="F214" s="380"/>
      <c r="G214" s="380"/>
      <c r="H214" s="380"/>
      <c r="I214" s="379"/>
      <c r="J214" s="380"/>
    </row>
    <row r="215" spans="2:10">
      <c r="B215" s="378"/>
      <c r="C215" s="380"/>
      <c r="D215" s="380"/>
      <c r="E215" s="380"/>
      <c r="F215" s="380"/>
      <c r="G215" s="380"/>
      <c r="H215" s="380"/>
      <c r="I215" s="379"/>
      <c r="J215" s="380"/>
    </row>
    <row r="216" spans="2:10">
      <c r="B216" s="378"/>
      <c r="C216" s="380"/>
      <c r="D216" s="380"/>
      <c r="E216" s="380"/>
      <c r="F216" s="380"/>
      <c r="G216" s="380"/>
      <c r="H216" s="380"/>
      <c r="I216" s="379"/>
      <c r="J216" s="380"/>
    </row>
    <row r="217" spans="2:10">
      <c r="B217" s="378"/>
      <c r="C217" s="380"/>
      <c r="D217" s="380"/>
      <c r="E217" s="380"/>
      <c r="F217" s="380"/>
      <c r="G217" s="380"/>
      <c r="H217" s="380"/>
      <c r="I217" s="379"/>
      <c r="J217" s="380"/>
    </row>
    <row r="218" spans="2:10">
      <c r="B218" s="378"/>
      <c r="C218" s="380"/>
      <c r="D218" s="380"/>
      <c r="E218" s="380"/>
      <c r="F218" s="380"/>
      <c r="G218" s="380"/>
      <c r="H218" s="380"/>
      <c r="I218" s="379"/>
      <c r="J218" s="380"/>
    </row>
    <row r="219" spans="2:10">
      <c r="B219" s="378"/>
      <c r="C219" s="380"/>
      <c r="D219" s="380"/>
      <c r="E219" s="380"/>
      <c r="F219" s="380"/>
      <c r="G219" s="380"/>
      <c r="H219" s="380"/>
      <c r="I219" s="379"/>
      <c r="J219" s="380"/>
    </row>
    <row r="220" spans="2:10">
      <c r="B220" s="378"/>
      <c r="C220" s="380"/>
      <c r="D220" s="380"/>
      <c r="E220" s="380"/>
      <c r="F220" s="380"/>
      <c r="G220" s="380"/>
      <c r="H220" s="380"/>
      <c r="I220" s="379"/>
      <c r="J220" s="380"/>
    </row>
    <row r="221" spans="2:10">
      <c r="B221" s="378"/>
      <c r="C221" s="380"/>
      <c r="D221" s="380"/>
      <c r="E221" s="380"/>
      <c r="F221" s="380"/>
      <c r="G221" s="380"/>
      <c r="H221" s="380"/>
      <c r="I221" s="379"/>
      <c r="J221" s="380"/>
    </row>
    <row r="222" spans="2:10">
      <c r="B222" s="378"/>
      <c r="C222" s="380"/>
      <c r="D222" s="380"/>
      <c r="E222" s="380"/>
      <c r="F222" s="380"/>
      <c r="G222" s="380"/>
      <c r="H222" s="380"/>
      <c r="I222" s="379"/>
      <c r="J222" s="380"/>
    </row>
    <row r="223" spans="2:10">
      <c r="B223" s="378"/>
      <c r="C223" s="380"/>
      <c r="D223" s="380"/>
      <c r="E223" s="380"/>
      <c r="F223" s="380"/>
      <c r="G223" s="380"/>
      <c r="H223" s="380"/>
      <c r="I223" s="379"/>
      <c r="J223" s="380"/>
    </row>
    <row r="224" spans="2:10">
      <c r="B224" s="378"/>
      <c r="C224" s="380"/>
      <c r="D224" s="380"/>
      <c r="E224" s="380"/>
      <c r="F224" s="380"/>
      <c r="G224" s="380"/>
      <c r="H224" s="380"/>
      <c r="I224" s="379"/>
      <c r="J224" s="380"/>
    </row>
    <row r="225" spans="2:10">
      <c r="B225" s="378"/>
      <c r="C225" s="380"/>
      <c r="D225" s="380"/>
      <c r="E225" s="380"/>
      <c r="F225" s="380"/>
      <c r="G225" s="380"/>
      <c r="H225" s="380"/>
      <c r="I225" s="379"/>
      <c r="J225" s="380"/>
    </row>
    <row r="226" spans="2:10">
      <c r="B226" s="378"/>
      <c r="C226" s="380"/>
      <c r="D226" s="380"/>
      <c r="E226" s="380"/>
      <c r="F226" s="380"/>
      <c r="G226" s="380"/>
      <c r="H226" s="380"/>
      <c r="I226" s="379"/>
      <c r="J226" s="380"/>
    </row>
    <row r="227" spans="2:10">
      <c r="B227" s="378"/>
      <c r="C227" s="380"/>
      <c r="D227" s="380"/>
      <c r="E227" s="380"/>
      <c r="F227" s="380"/>
      <c r="G227" s="380"/>
      <c r="H227" s="380"/>
      <c r="I227" s="379"/>
      <c r="J227" s="380"/>
    </row>
    <row r="228" spans="2:10">
      <c r="B228" s="378"/>
      <c r="C228" s="380"/>
      <c r="D228" s="380"/>
      <c r="E228" s="380"/>
      <c r="F228" s="380"/>
      <c r="G228" s="380"/>
      <c r="H228" s="380"/>
      <c r="I228" s="379"/>
      <c r="J228" s="380"/>
    </row>
    <row r="229" spans="2:10">
      <c r="B229" s="378"/>
      <c r="C229" s="380"/>
      <c r="D229" s="380"/>
      <c r="E229" s="380"/>
      <c r="F229" s="380"/>
      <c r="G229" s="380"/>
      <c r="H229" s="380"/>
      <c r="I229" s="379"/>
      <c r="J229" s="380"/>
    </row>
    <row r="230" spans="2:10">
      <c r="B230" s="378"/>
      <c r="C230" s="380"/>
      <c r="D230" s="380"/>
      <c r="E230" s="380"/>
      <c r="F230" s="380"/>
      <c r="G230" s="380"/>
      <c r="H230" s="380"/>
      <c r="I230" s="379"/>
      <c r="J230" s="380"/>
    </row>
    <row r="231" spans="2:10">
      <c r="B231" s="378"/>
      <c r="C231" s="380"/>
      <c r="D231" s="380"/>
      <c r="E231" s="380"/>
      <c r="F231" s="380"/>
      <c r="G231" s="380"/>
      <c r="H231" s="380"/>
      <c r="I231" s="379"/>
      <c r="J231" s="380"/>
    </row>
    <row r="232" spans="2:10">
      <c r="B232" s="378"/>
      <c r="C232" s="380"/>
      <c r="D232" s="380"/>
      <c r="E232" s="380"/>
      <c r="F232" s="380"/>
      <c r="G232" s="380"/>
      <c r="H232" s="380"/>
      <c r="I232" s="379"/>
      <c r="J232" s="380"/>
    </row>
    <row r="233" spans="2:10">
      <c r="B233" s="378"/>
      <c r="C233" s="380"/>
      <c r="D233" s="380"/>
      <c r="E233" s="380"/>
      <c r="F233" s="380"/>
      <c r="G233" s="380"/>
      <c r="H233" s="380"/>
      <c r="I233" s="379"/>
      <c r="J233" s="380"/>
    </row>
    <row r="234" spans="2:10">
      <c r="B234" s="378"/>
      <c r="C234" s="380"/>
      <c r="D234" s="380"/>
      <c r="E234" s="380"/>
      <c r="F234" s="380"/>
      <c r="G234" s="380"/>
      <c r="H234" s="380"/>
      <c r="I234" s="379"/>
      <c r="J234" s="380"/>
    </row>
    <row r="235" spans="2:10">
      <c r="B235" s="378"/>
      <c r="C235" s="380"/>
      <c r="D235" s="380"/>
      <c r="E235" s="380"/>
      <c r="F235" s="380"/>
      <c r="G235" s="380"/>
      <c r="H235" s="380"/>
      <c r="I235" s="379"/>
      <c r="J235" s="380"/>
    </row>
    <row r="236" spans="2:10">
      <c r="B236" s="378"/>
      <c r="C236" s="380"/>
      <c r="D236" s="380"/>
      <c r="E236" s="380"/>
      <c r="F236" s="380"/>
      <c r="G236" s="380"/>
      <c r="H236" s="380"/>
      <c r="I236" s="379"/>
      <c r="J236" s="380"/>
    </row>
    <row r="237" spans="2:10">
      <c r="B237" s="378"/>
      <c r="C237" s="380"/>
      <c r="D237" s="380"/>
      <c r="E237" s="380"/>
      <c r="F237" s="380"/>
      <c r="G237" s="380"/>
      <c r="H237" s="380"/>
      <c r="I237" s="379"/>
      <c r="J237" s="380"/>
    </row>
    <row r="238" spans="2:10">
      <c r="B238" s="378"/>
      <c r="C238" s="380"/>
      <c r="D238" s="380"/>
      <c r="E238" s="380"/>
      <c r="F238" s="380"/>
      <c r="G238" s="380"/>
      <c r="H238" s="380"/>
      <c r="I238" s="379"/>
      <c r="J238" s="380"/>
    </row>
    <row r="239" spans="2:10">
      <c r="B239" s="378"/>
      <c r="C239" s="380"/>
      <c r="D239" s="380"/>
      <c r="E239" s="380"/>
      <c r="F239" s="380"/>
      <c r="G239" s="380"/>
      <c r="H239" s="380"/>
      <c r="I239" s="379"/>
      <c r="J239" s="380"/>
    </row>
    <row r="240" spans="2:10">
      <c r="B240" s="378"/>
      <c r="C240" s="380"/>
      <c r="D240" s="380"/>
      <c r="E240" s="380"/>
      <c r="F240" s="380"/>
      <c r="G240" s="380"/>
      <c r="H240" s="380"/>
      <c r="I240" s="379"/>
      <c r="J240" s="380"/>
    </row>
    <row r="241" spans="2:10">
      <c r="B241" s="378"/>
      <c r="C241" s="380"/>
      <c r="D241" s="380"/>
      <c r="E241" s="380"/>
      <c r="F241" s="380"/>
      <c r="G241" s="380"/>
      <c r="H241" s="380"/>
      <c r="I241" s="379"/>
      <c r="J241" s="380"/>
    </row>
    <row r="242" spans="2:10">
      <c r="B242" s="378"/>
      <c r="C242" s="380"/>
      <c r="D242" s="380"/>
      <c r="E242" s="380"/>
      <c r="F242" s="380"/>
      <c r="G242" s="380"/>
      <c r="H242" s="380"/>
      <c r="I242" s="379"/>
      <c r="J242" s="380"/>
    </row>
    <row r="243" spans="2:10">
      <c r="B243" s="378"/>
      <c r="C243" s="380"/>
      <c r="D243" s="380"/>
      <c r="E243" s="380"/>
      <c r="F243" s="380"/>
      <c r="G243" s="380"/>
      <c r="H243" s="380"/>
      <c r="I243" s="379"/>
      <c r="J243" s="380"/>
    </row>
    <row r="244" spans="2:10">
      <c r="B244" s="378"/>
      <c r="C244" s="380"/>
      <c r="D244" s="380"/>
      <c r="E244" s="380"/>
      <c r="F244" s="380"/>
      <c r="G244" s="380"/>
      <c r="H244" s="380"/>
      <c r="I244" s="379"/>
      <c r="J244" s="380"/>
    </row>
    <row r="245" spans="2:10">
      <c r="B245" s="378"/>
      <c r="C245" s="380"/>
      <c r="D245" s="380"/>
      <c r="E245" s="380"/>
      <c r="F245" s="380"/>
      <c r="G245" s="380"/>
      <c r="H245" s="380"/>
      <c r="I245" s="379"/>
      <c r="J245" s="380"/>
    </row>
    <row r="246" spans="2:10">
      <c r="B246" s="378"/>
      <c r="C246" s="380"/>
      <c r="D246" s="380"/>
      <c r="E246" s="380"/>
      <c r="F246" s="380"/>
      <c r="G246" s="380"/>
      <c r="H246" s="380"/>
      <c r="I246" s="379"/>
      <c r="J246" s="380"/>
    </row>
    <row r="247" spans="2:10">
      <c r="B247" s="378"/>
      <c r="C247" s="380"/>
      <c r="D247" s="380"/>
      <c r="E247" s="380"/>
      <c r="F247" s="380"/>
      <c r="G247" s="380"/>
      <c r="H247" s="380"/>
      <c r="I247" s="379"/>
      <c r="J247" s="380"/>
    </row>
    <row r="248" spans="2:10">
      <c r="B248" s="378"/>
      <c r="C248" s="380"/>
      <c r="D248" s="380"/>
      <c r="E248" s="380"/>
      <c r="F248" s="380"/>
      <c r="G248" s="380"/>
      <c r="H248" s="380"/>
      <c r="I248" s="379"/>
      <c r="J248" s="380"/>
    </row>
    <row r="249" spans="2:10">
      <c r="B249" s="378"/>
      <c r="C249" s="380"/>
      <c r="D249" s="380"/>
      <c r="E249" s="380"/>
      <c r="F249" s="380"/>
      <c r="G249" s="380"/>
      <c r="H249" s="380"/>
      <c r="I249" s="379"/>
      <c r="J249" s="380"/>
    </row>
    <row r="250" spans="2:10">
      <c r="B250" s="378"/>
      <c r="C250" s="380"/>
      <c r="D250" s="380"/>
      <c r="E250" s="380"/>
      <c r="F250" s="380"/>
      <c r="G250" s="380"/>
      <c r="H250" s="380"/>
      <c r="I250" s="379"/>
      <c r="J250" s="380"/>
    </row>
    <row r="251" spans="2:10">
      <c r="B251" s="378"/>
      <c r="C251" s="380"/>
      <c r="D251" s="380"/>
      <c r="E251" s="380"/>
      <c r="F251" s="380"/>
      <c r="G251" s="380"/>
      <c r="H251" s="380"/>
      <c r="I251" s="379"/>
      <c r="J251" s="380"/>
    </row>
    <row r="252" spans="2:10">
      <c r="B252" s="378"/>
      <c r="C252" s="380"/>
      <c r="D252" s="380"/>
      <c r="E252" s="380"/>
      <c r="F252" s="380"/>
      <c r="G252" s="380"/>
      <c r="H252" s="380"/>
      <c r="I252" s="379"/>
      <c r="J252" s="380"/>
    </row>
    <row r="253" spans="2:10">
      <c r="B253" s="378"/>
      <c r="C253" s="380"/>
      <c r="D253" s="380"/>
      <c r="E253" s="380"/>
      <c r="F253" s="380"/>
      <c r="G253" s="380"/>
      <c r="H253" s="380"/>
      <c r="I253" s="379"/>
      <c r="J253" s="380"/>
    </row>
    <row r="254" spans="2:10">
      <c r="B254" s="378"/>
      <c r="C254" s="380"/>
      <c r="D254" s="380"/>
      <c r="E254" s="380"/>
      <c r="F254" s="380"/>
      <c r="G254" s="380"/>
      <c r="H254" s="380"/>
      <c r="I254" s="379"/>
      <c r="J254" s="380"/>
    </row>
    <row r="255" spans="2:10">
      <c r="B255" s="378"/>
      <c r="C255" s="380"/>
      <c r="D255" s="380"/>
      <c r="E255" s="380"/>
      <c r="F255" s="380"/>
      <c r="G255" s="380"/>
      <c r="H255" s="380"/>
      <c r="I255" s="379"/>
      <c r="J255" s="380"/>
    </row>
    <row r="256" spans="2:10">
      <c r="B256" s="378"/>
      <c r="C256" s="380"/>
      <c r="D256" s="380"/>
      <c r="E256" s="380"/>
      <c r="F256" s="380"/>
      <c r="G256" s="380"/>
      <c r="H256" s="380"/>
      <c r="I256" s="379"/>
      <c r="J256" s="380"/>
    </row>
    <row r="257" spans="2:10">
      <c r="B257" s="378"/>
      <c r="C257" s="380"/>
      <c r="D257" s="380"/>
      <c r="E257" s="380"/>
      <c r="F257" s="380"/>
      <c r="G257" s="380"/>
      <c r="H257" s="380"/>
      <c r="I257" s="379"/>
      <c r="J257" s="380"/>
    </row>
    <row r="258" spans="2:10">
      <c r="B258" s="378"/>
      <c r="C258" s="380"/>
      <c r="D258" s="380"/>
      <c r="E258" s="380"/>
      <c r="F258" s="380"/>
      <c r="G258" s="380"/>
      <c r="H258" s="380"/>
      <c r="I258" s="379"/>
      <c r="J258" s="380"/>
    </row>
    <row r="259" spans="2:10">
      <c r="B259" s="378"/>
      <c r="C259" s="380"/>
      <c r="D259" s="380"/>
      <c r="E259" s="380"/>
      <c r="F259" s="380"/>
      <c r="G259" s="380"/>
      <c r="H259" s="380"/>
      <c r="I259" s="379"/>
      <c r="J259" s="380"/>
    </row>
    <row r="260" spans="2:10">
      <c r="B260" s="378"/>
      <c r="C260" s="380"/>
      <c r="D260" s="380"/>
      <c r="E260" s="380"/>
      <c r="F260" s="380"/>
      <c r="G260" s="380"/>
      <c r="H260" s="380"/>
      <c r="I260" s="379"/>
      <c r="J260" s="380"/>
    </row>
    <row r="261" spans="2:10">
      <c r="B261" s="378"/>
      <c r="C261" s="380"/>
      <c r="D261" s="380"/>
      <c r="E261" s="380"/>
      <c r="F261" s="380"/>
      <c r="G261" s="380"/>
      <c r="H261" s="380"/>
      <c r="I261" s="379"/>
      <c r="J261" s="380"/>
    </row>
    <row r="262" spans="2:10">
      <c r="B262" s="378"/>
      <c r="C262" s="380"/>
      <c r="D262" s="380"/>
      <c r="E262" s="380"/>
      <c r="F262" s="380"/>
      <c r="G262" s="380"/>
      <c r="H262" s="380"/>
      <c r="I262" s="379"/>
      <c r="J262" s="380"/>
    </row>
    <row r="263" spans="2:10">
      <c r="B263" s="378"/>
      <c r="C263" s="380"/>
      <c r="D263" s="380"/>
      <c r="E263" s="380"/>
      <c r="F263" s="380"/>
      <c r="G263" s="380"/>
      <c r="H263" s="380"/>
      <c r="I263" s="379"/>
      <c r="J263" s="380"/>
    </row>
    <row r="264" spans="2:10">
      <c r="B264" s="378"/>
      <c r="C264" s="380"/>
      <c r="D264" s="380"/>
      <c r="E264" s="380"/>
      <c r="F264" s="380"/>
      <c r="G264" s="380"/>
      <c r="H264" s="380"/>
      <c r="I264" s="379"/>
      <c r="J264" s="380"/>
    </row>
    <row r="265" spans="2:10">
      <c r="B265" s="378"/>
      <c r="C265" s="380"/>
      <c r="D265" s="380"/>
      <c r="E265" s="380"/>
      <c r="F265" s="380"/>
      <c r="G265" s="380"/>
      <c r="H265" s="380"/>
      <c r="I265" s="379"/>
      <c r="J265" s="380"/>
    </row>
    <row r="266" spans="2:10">
      <c r="B266" s="378"/>
      <c r="C266" s="380"/>
      <c r="D266" s="380"/>
      <c r="E266" s="380"/>
      <c r="F266" s="380"/>
      <c r="G266" s="380"/>
      <c r="H266" s="380"/>
      <c r="I266" s="379"/>
      <c r="J266" s="380"/>
    </row>
    <row r="267" spans="2:10">
      <c r="B267" s="378"/>
      <c r="C267" s="380"/>
      <c r="D267" s="380"/>
      <c r="E267" s="380"/>
      <c r="F267" s="380"/>
      <c r="G267" s="380"/>
      <c r="H267" s="380"/>
      <c r="I267" s="379"/>
      <c r="J267" s="380"/>
    </row>
    <row r="268" spans="2:10">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9"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290249" r:id="rId3" name="cmdSpecifyIEOptcode"/>
      </mc:Fallback>
    </mc:AlternateContent>
    <mc:AlternateContent xmlns:mc="http://schemas.openxmlformats.org/markup-compatibility/2006">
      <mc:Choice Requires="x14">
        <control shapeId="1290248"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290248" r:id="rId5" name="cmdSpecifyArg6"/>
      </mc:Fallback>
    </mc:AlternateContent>
    <mc:AlternateContent xmlns:mc="http://schemas.openxmlformats.org/markup-compatibility/2006">
      <mc:Choice Requires="x14">
        <control shapeId="1290247"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290247" r:id="rId7" name="cmdSpecifyArg5"/>
      </mc:Fallback>
    </mc:AlternateContent>
    <mc:AlternateContent xmlns:mc="http://schemas.openxmlformats.org/markup-compatibility/2006">
      <mc:Choice Requires="x14">
        <control shapeId="1290246"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290246" r:id="rId9" name="cmdSpecifyArg4"/>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90245" r:id="rId11" name="cmdSpecifyArg3"/>
      </mc:Fallback>
    </mc:AlternateContent>
    <mc:AlternateContent xmlns:mc="http://schemas.openxmlformats.org/markup-compatibility/2006">
      <mc:Choice Requires="x14">
        <control shapeId="1290244"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290244" r:id="rId13" name="cmdSpecifyArg2"/>
      </mc:Fallback>
    </mc:AlternateContent>
    <mc:AlternateContent xmlns:mc="http://schemas.openxmlformats.org/markup-compatibility/2006">
      <mc:Choice Requires="x14">
        <control shapeId="129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290243" r:id="rId15" name="cmdSpecifyArg1"/>
      </mc:Fallback>
    </mc:AlternateContent>
    <mc:AlternateContent xmlns:mc="http://schemas.openxmlformats.org/markup-compatibility/2006">
      <mc:Choice Requires="x14">
        <control shapeId="129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290242" r:id="rId17" name="cmdSpecifyParameter"/>
      </mc:Fallback>
    </mc:AlternateContent>
    <mc:AlternateContent xmlns:mc="http://schemas.openxmlformats.org/markup-compatibility/2006">
      <mc:Choice Requires="x14">
        <control shapeId="1290241"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290241" r:id="rId19" name="cmdCheckTSandTIDDataSheet"/>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40625" defaultRowHeight="15"/>
  <cols>
    <col min="1" max="1" width="6.28515625" style="500" bestFit="1" customWidth="1"/>
    <col min="2" max="2" width="8.85546875" style="500" bestFit="1" customWidth="1"/>
    <col min="3" max="3" width="22.85546875" style="500" bestFit="1" customWidth="1"/>
    <col min="4" max="4" width="96.140625" style="500" bestFit="1" customWidth="1"/>
    <col min="5" max="5" width="6.5703125" style="500" bestFit="1" customWidth="1"/>
    <col min="6" max="6" width="25.85546875" style="500" bestFit="1" customWidth="1"/>
    <col min="7" max="16384" width="9.14062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40625" defaultRowHeight="15"/>
  <cols>
    <col min="1" max="1" width="8.28515625" style="500" bestFit="1" customWidth="1"/>
    <col min="2" max="2" width="12.140625" style="500" bestFit="1" customWidth="1"/>
    <col min="3" max="3" width="20.7109375" style="500" bestFit="1" customWidth="1"/>
    <col min="4" max="4" width="4.85546875" style="500" bestFit="1" customWidth="1"/>
    <col min="5" max="5" width="22.42578125" style="500" bestFit="1" customWidth="1"/>
    <col min="6" max="6" width="1.7109375" style="500" bestFit="1" customWidth="1"/>
    <col min="7" max="7" width="8.5703125" style="500" bestFit="1" customWidth="1"/>
    <col min="8" max="8" width="3.42578125" style="500" bestFit="1" customWidth="1"/>
    <col min="9" max="9" width="3.5703125" style="500" customWidth="1"/>
    <col min="10" max="10" width="12" style="500" bestFit="1" customWidth="1"/>
    <col min="11" max="11" width="5" style="500" bestFit="1" customWidth="1"/>
    <col min="12" max="13" width="4.42578125" style="500" bestFit="1" customWidth="1"/>
    <col min="14" max="48" width="7" style="500" bestFit="1" customWidth="1"/>
    <col min="49" max="16384" width="9.14062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40625" defaultRowHeight="15"/>
  <cols>
    <col min="1" max="1" width="9.140625" style="500"/>
    <col min="2" max="2" width="12.5703125" style="500" bestFit="1" customWidth="1"/>
    <col min="3" max="3" width="20.7109375" style="500" bestFit="1" customWidth="1"/>
    <col min="4" max="4" width="20.140625" style="500" bestFit="1" customWidth="1"/>
    <col min="5" max="5" width="22.85546875" style="500" bestFit="1" customWidth="1"/>
    <col min="6" max="7" width="1.7109375" style="500" bestFit="1" customWidth="1"/>
    <col min="8" max="8" width="4" style="500" customWidth="1"/>
    <col min="9" max="9" width="9.7109375" style="500" customWidth="1"/>
    <col min="10" max="16384" width="9.14062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5546875" defaultRowHeight="12.75"/>
  <cols>
    <col min="4" max="4" width="12.42578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2578125" defaultRowHeight="12.75"/>
  <cols>
    <col min="1" max="1" width="24" style="1" customWidth="1"/>
    <col min="2" max="8" width="11.42578125" style="1"/>
    <col min="9" max="9" width="12.28515625" style="1" customWidth="1"/>
    <col min="10" max="16384" width="11.42578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75"/>
  <cols>
    <col min="3" max="3" width="12.710937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75"/>
  <cols>
    <col min="2" max="2" width="25.28515625" customWidth="1"/>
    <col min="3" max="3" width="17" customWidth="1"/>
    <col min="4" max="4" width="13" customWidth="1"/>
    <col min="14" max="14" width="15" bestFit="1" customWidth="1"/>
  </cols>
  <sheetData>
    <row r="4" spans="2:5">
      <c r="B4" s="485" t="s">
        <v>148</v>
      </c>
    </row>
    <row r="5" spans="2:5">
      <c r="B5" s="485"/>
    </row>
    <row r="6" spans="2:5">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75"/>
  <cols>
    <col min="1" max="1" width="4.42578125" customWidth="1"/>
  </cols>
  <sheetData>
    <row r="1" spans="1:9">
      <c r="A1" s="596" t="s">
        <v>1204</v>
      </c>
      <c r="B1" s="596"/>
      <c r="C1" s="597"/>
      <c r="D1" s="597"/>
      <c r="E1" s="597"/>
      <c r="F1" s="597"/>
      <c r="G1" s="597"/>
      <c r="H1" s="597"/>
    </row>
    <row r="2" spans="1:9">
      <c r="A2" s="596"/>
      <c r="B2" s="596"/>
      <c r="C2" s="597"/>
      <c r="D2" s="597"/>
      <c r="E2" s="597"/>
      <c r="F2" s="597"/>
      <c r="G2" s="597"/>
      <c r="H2" s="597"/>
    </row>
    <row r="3" spans="1:9">
      <c r="A3" s="596">
        <v>1</v>
      </c>
      <c r="B3" s="596" t="s">
        <v>1256</v>
      </c>
      <c r="C3" s="597"/>
      <c r="D3" s="597"/>
      <c r="E3" s="597"/>
      <c r="F3" s="597"/>
      <c r="G3" s="597"/>
      <c r="H3" s="597"/>
      <c r="I3" s="664" t="s">
        <v>1480</v>
      </c>
    </row>
    <row r="4" spans="1:9">
      <c r="A4" s="596">
        <v>2</v>
      </c>
      <c r="B4" s="596" t="s">
        <v>1255</v>
      </c>
      <c r="C4" s="597"/>
      <c r="D4" s="597"/>
      <c r="E4" s="597"/>
      <c r="F4" s="597"/>
      <c r="G4" s="597"/>
      <c r="H4" s="597"/>
      <c r="I4" s="664" t="s">
        <v>1480</v>
      </c>
    </row>
    <row r="5" spans="1:9">
      <c r="A5" s="596">
        <v>3</v>
      </c>
      <c r="B5" s="596" t="s">
        <v>1252</v>
      </c>
      <c r="C5" s="597"/>
      <c r="D5" s="597"/>
      <c r="E5" s="597"/>
      <c r="F5" s="597"/>
      <c r="G5" s="597"/>
      <c r="H5" s="597"/>
      <c r="I5" s="664" t="s">
        <v>1480</v>
      </c>
    </row>
    <row r="6" spans="1:9">
      <c r="A6" s="596">
        <v>4</v>
      </c>
      <c r="B6" s="596" t="s">
        <v>1254</v>
      </c>
      <c r="C6" s="597"/>
      <c r="D6" s="597"/>
      <c r="E6" s="597"/>
      <c r="F6" s="597"/>
      <c r="G6" s="597"/>
      <c r="H6" s="597"/>
      <c r="I6" s="664" t="s">
        <v>1480</v>
      </c>
    </row>
    <row r="7" spans="1:9">
      <c r="A7" s="596">
        <v>5</v>
      </c>
      <c r="B7" s="596" t="s">
        <v>1253</v>
      </c>
      <c r="C7" s="597"/>
      <c r="D7" s="597"/>
      <c r="E7" s="597"/>
      <c r="F7" s="597"/>
      <c r="G7" s="597"/>
      <c r="H7" s="597"/>
    </row>
    <row r="8" spans="1:9">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40625" defaultRowHeight="12.75"/>
  <cols>
    <col min="1" max="1" width="5" style="314" bestFit="1" customWidth="1"/>
    <col min="2" max="2" width="11.7109375" style="314" bestFit="1" customWidth="1"/>
    <col min="3" max="4" width="14.7109375" style="314" customWidth="1"/>
    <col min="5" max="16384" width="9.14062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40625" defaultRowHeight="12.75"/>
  <cols>
    <col min="1" max="1" width="5" style="544" bestFit="1" customWidth="1"/>
    <col min="2" max="41" width="10.42578125" style="314" customWidth="1"/>
    <col min="42" max="16384" width="9.140625" style="314"/>
  </cols>
  <sheetData>
    <row r="1" spans="1:41">
      <c r="B1" s="801" t="s">
        <v>441</v>
      </c>
      <c r="C1" s="801"/>
      <c r="D1" s="801"/>
      <c r="E1" s="801"/>
      <c r="F1" s="801" t="s">
        <v>1182</v>
      </c>
      <c r="G1" s="801"/>
      <c r="H1" s="801"/>
      <c r="I1" s="801"/>
      <c r="J1" s="801" t="s">
        <v>1183</v>
      </c>
      <c r="K1" s="801"/>
      <c r="L1" s="801"/>
      <c r="M1" s="801"/>
      <c r="N1" s="801" t="s">
        <v>1184</v>
      </c>
      <c r="O1" s="801"/>
      <c r="P1" s="801"/>
      <c r="Q1" s="801"/>
      <c r="R1" s="801" t="s">
        <v>1185</v>
      </c>
      <c r="S1" s="801"/>
      <c r="T1" s="801"/>
      <c r="U1" s="801"/>
      <c r="V1" s="801" t="s">
        <v>1186</v>
      </c>
      <c r="W1" s="801"/>
      <c r="X1" s="801"/>
      <c r="Y1" s="801"/>
      <c r="Z1" s="801" t="s">
        <v>1187</v>
      </c>
      <c r="AA1" s="801"/>
      <c r="AB1" s="801"/>
      <c r="AC1" s="801"/>
      <c r="AD1" s="801" t="s">
        <v>1188</v>
      </c>
      <c r="AE1" s="801"/>
      <c r="AF1" s="801"/>
      <c r="AG1" s="801"/>
      <c r="AH1" s="801" t="s">
        <v>1189</v>
      </c>
      <c r="AI1" s="801"/>
      <c r="AJ1" s="801"/>
      <c r="AK1" s="801"/>
      <c r="AL1" s="801" t="s">
        <v>1190</v>
      </c>
      <c r="AM1" s="801"/>
      <c r="AN1" s="801"/>
      <c r="AO1" s="801"/>
    </row>
    <row r="2" spans="1:41" s="546" customFormat="1" ht="38.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40625" defaultRowHeight="12"/>
  <cols>
    <col min="1" max="1" width="9.140625" style="584"/>
    <col min="2" max="2" width="9.42578125" style="584" bestFit="1" customWidth="1"/>
    <col min="3" max="4" width="9.28515625" style="584" bestFit="1" customWidth="1"/>
    <col min="5" max="6" width="9.28515625" style="584" customWidth="1"/>
    <col min="7" max="7" width="9.140625" style="584"/>
    <col min="8" max="9" width="9.28515625" style="584" bestFit="1" customWidth="1"/>
    <col min="10" max="11" width="9.140625" style="584"/>
    <col min="12" max="12" width="18.28515625" style="584" customWidth="1"/>
    <col min="13" max="16384" width="9.14062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2578125" defaultRowHeight="12.75"/>
  <cols>
    <col min="1" max="1" width="7.7109375" style="17" customWidth="1"/>
    <col min="2" max="2" width="16.42578125" style="17" customWidth="1"/>
    <col min="3" max="3" width="16.42578125" style="41" customWidth="1"/>
    <col min="4" max="4" width="3.42578125" style="41" customWidth="1"/>
    <col min="5" max="5" width="8.140625" style="41" customWidth="1"/>
    <col min="6" max="7" width="10.42578125" style="41" customWidth="1"/>
    <col min="8" max="8" width="16.42578125" style="41" customWidth="1"/>
    <col min="9"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c r="A4" s="134" t="s">
        <v>434</v>
      </c>
      <c r="B4" s="134"/>
      <c r="C4" s="125"/>
      <c r="D4" s="125"/>
      <c r="E4" s="125"/>
      <c r="F4" s="125"/>
      <c r="G4" s="125"/>
      <c r="H4" s="125"/>
      <c r="I4" s="125"/>
      <c r="J4" s="125"/>
    </row>
    <row r="5" spans="1:17" s="6" customFormat="1">
      <c r="A5" s="135" t="s">
        <v>435</v>
      </c>
      <c r="B5" s="135"/>
      <c r="C5" s="125"/>
      <c r="D5" s="41"/>
      <c r="E5" s="41"/>
      <c r="F5" s="41"/>
      <c r="G5" s="41"/>
      <c r="H5" s="125"/>
      <c r="I5" s="41"/>
      <c r="J5" s="41"/>
    </row>
    <row r="6" spans="1:17" s="6" customFormat="1">
      <c r="A6" s="136" t="s">
        <v>436</v>
      </c>
      <c r="B6" s="136"/>
      <c r="C6" s="125"/>
      <c r="D6" s="41"/>
      <c r="E6" s="41"/>
      <c r="F6" s="41"/>
      <c r="G6" s="41"/>
      <c r="H6" s="125"/>
      <c r="I6" s="41"/>
      <c r="J6" s="41"/>
    </row>
    <row r="7" spans="1:17" s="6" customFormat="1">
      <c r="A7" s="137" t="s">
        <v>437</v>
      </c>
      <c r="B7" s="137"/>
      <c r="C7" s="125"/>
      <c r="D7" s="41"/>
      <c r="E7" s="41"/>
      <c r="F7" s="41"/>
      <c r="G7" s="41"/>
      <c r="H7" s="125"/>
      <c r="I7" s="41"/>
      <c r="J7" s="41"/>
    </row>
    <row r="8" spans="1:17">
      <c r="A8" s="48"/>
      <c r="B8" s="48"/>
      <c r="C8" s="49"/>
      <c r="D8" s="50"/>
      <c r="E8" s="49"/>
      <c r="F8" s="49"/>
      <c r="G8" s="50"/>
      <c r="H8" s="49"/>
      <c r="K8" s="1"/>
      <c r="L8" s="1"/>
      <c r="M8" s="1"/>
      <c r="N8" s="1"/>
      <c r="O8" s="1"/>
      <c r="P8" s="1"/>
      <c r="Q8" s="1"/>
    </row>
    <row r="9" spans="1:17">
      <c r="A9" s="138" t="s">
        <v>1199</v>
      </c>
      <c r="B9" s="138"/>
      <c r="C9" s="49"/>
      <c r="D9" s="50"/>
      <c r="E9" s="138" t="s">
        <v>1199</v>
      </c>
      <c r="F9" s="138"/>
      <c r="G9" s="49"/>
      <c r="H9" s="49"/>
    </row>
    <row r="10" spans="1:17" s="55" customFormat="1">
      <c r="A10" s="51"/>
      <c r="B10" s="51"/>
      <c r="C10" s="52"/>
      <c r="D10" s="53"/>
      <c r="E10" s="51"/>
      <c r="F10" s="51"/>
      <c r="G10" s="52"/>
      <c r="H10" s="52"/>
      <c r="I10" s="54"/>
      <c r="J10" s="54"/>
      <c r="K10" s="54"/>
      <c r="L10" s="54"/>
      <c r="M10" s="54"/>
      <c r="N10" s="54"/>
      <c r="O10" s="54"/>
      <c r="P10" s="54"/>
      <c r="Q10" s="54"/>
    </row>
    <row r="11" spans="1:17">
      <c r="A11" s="48"/>
      <c r="B11" s="48"/>
      <c r="C11" s="49"/>
      <c r="D11" s="50"/>
      <c r="E11" s="48"/>
      <c r="F11" s="550">
        <v>0.25</v>
      </c>
      <c r="G11" s="49"/>
      <c r="H11" s="49"/>
    </row>
    <row r="12" spans="1:17">
      <c r="A12" s="48"/>
      <c r="B12" s="139" t="s">
        <v>441</v>
      </c>
      <c r="C12" s="1"/>
      <c r="D12" s="50"/>
      <c r="E12" s="48"/>
      <c r="F12" s="139" t="s">
        <v>1202</v>
      </c>
      <c r="G12" s="1"/>
      <c r="H12" s="1"/>
    </row>
    <row r="13" spans="1:17">
      <c r="A13" s="140">
        <v>1992</v>
      </c>
      <c r="B13" s="63">
        <v>137</v>
      </c>
      <c r="C13" s="1"/>
      <c r="D13" s="49"/>
      <c r="E13" s="140">
        <v>1992</v>
      </c>
      <c r="F13" s="63">
        <f>B13*F11</f>
        <v>34.25</v>
      </c>
      <c r="G13" s="1"/>
      <c r="H13" s="1"/>
      <c r="Q13" s="1"/>
    </row>
    <row r="14" spans="1:17">
      <c r="A14" s="611"/>
      <c r="B14" s="610"/>
      <c r="C14" s="1"/>
      <c r="D14" s="49"/>
      <c r="E14" s="48"/>
      <c r="F14" s="141"/>
      <c r="G14" s="1"/>
      <c r="H14" s="1"/>
      <c r="Q14" s="1"/>
    </row>
    <row r="15" spans="1:17">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c r="A18" s="51"/>
      <c r="B18" s="51"/>
      <c r="C18" s="52"/>
      <c r="D18" s="53"/>
      <c r="E18" s="51"/>
      <c r="F18" s="51"/>
      <c r="G18" s="52"/>
      <c r="H18" s="52"/>
      <c r="I18" s="54"/>
      <c r="J18" s="54"/>
      <c r="K18" s="54"/>
      <c r="L18" s="54"/>
      <c r="M18" s="54"/>
      <c r="N18" s="54"/>
      <c r="O18" s="54"/>
      <c r="P18" s="54"/>
      <c r="Q18" s="54"/>
    </row>
    <row r="19" spans="1:17">
      <c r="A19" s="48"/>
      <c r="B19" s="48"/>
      <c r="C19" s="49"/>
      <c r="D19" s="50"/>
      <c r="E19" s="48"/>
      <c r="F19" s="48"/>
      <c r="G19" s="49"/>
      <c r="H19" s="49"/>
    </row>
    <row r="20" spans="1:17" ht="45">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5" id="{E67B83FA-C98A-4593-AFE5-A36DE9DCF2D8}">
            <xm:f>COUNTIF(STATSSA_Monthly!$A$3:$A$400,$A21)&lt;12</xm:f>
            <x14:dxf>
              <font>
                <color rgb="FFFF0000"/>
              </font>
            </x14:dxf>
          </x14:cfRule>
          <xm:sqref>A21:C78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codeName="Sheet56">
    <tabColor theme="2" tint="-0.249977111117893"/>
  </sheetPr>
  <dimension ref="A1:CE42"/>
  <sheetViews>
    <sheetView topLeftCell="A3" zoomScale="72" zoomScaleNormal="100" workbookViewId="0">
      <selection activeCell="Q24" sqref="Q24"/>
    </sheetView>
  </sheetViews>
  <sheetFormatPr defaultColWidth="8.85546875" defaultRowHeight="12.75"/>
  <cols>
    <col min="3" max="3" width="9.42578125" bestFit="1" customWidth="1"/>
    <col min="21" max="23" width="17" customWidth="1"/>
  </cols>
  <sheetData>
    <row r="1" spans="1:83">
      <c r="A1" t="s">
        <v>1478</v>
      </c>
    </row>
    <row r="8" spans="1:83">
      <c r="B8" t="s">
        <v>1441</v>
      </c>
      <c r="D8" s="645">
        <v>1000</v>
      </c>
    </row>
    <row r="9" spans="1:83" ht="1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8515625" defaultRowHeight="12.75"/>
  <cols>
    <col min="1" max="1" width="19.7109375" style="1" customWidth="1"/>
    <col min="2" max="2" width="16.42578125" style="1" customWidth="1"/>
    <col min="3" max="6" width="8.42578125" style="599" bestFit="1" customWidth="1"/>
    <col min="7" max="14" width="8.85546875" style="599" bestFit="1" customWidth="1"/>
    <col min="15" max="15" width="9.85546875" style="599" bestFit="1" customWidth="1"/>
    <col min="16" max="18" width="8.85546875" style="599" bestFit="1" customWidth="1"/>
    <col min="19" max="19" width="9.85546875" style="599" bestFit="1" customWidth="1"/>
    <col min="20" max="22" width="8.85546875" style="599" bestFit="1" customWidth="1"/>
    <col min="23" max="23" width="9.85546875" style="599" bestFit="1" customWidth="1"/>
    <col min="24" max="28" width="8.85546875" style="599" bestFit="1" customWidth="1"/>
    <col min="29" max="29" width="9.85546875" style="599" bestFit="1" customWidth="1"/>
    <col min="30" max="43" width="8.85546875" style="599" bestFit="1" customWidth="1"/>
    <col min="44" max="16384" width="8.28515625" style="599"/>
  </cols>
  <sheetData>
    <row r="1" spans="1:47" s="598" customFormat="1">
      <c r="A1" s="42" t="s">
        <v>179</v>
      </c>
      <c r="B1" s="43"/>
    </row>
    <row r="2" spans="1:47">
      <c r="A2" s="45" t="s">
        <v>180</v>
      </c>
    </row>
    <row r="3" spans="1:47">
      <c r="A3" s="21" t="s">
        <v>181</v>
      </c>
    </row>
    <row r="4" spans="1:47">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40625" defaultRowHeight="12"/>
  <cols>
    <col min="1" max="1" width="25.140625" style="617" bestFit="1" customWidth="1"/>
    <col min="2" max="16384" width="9.140625" style="617"/>
  </cols>
  <sheetData>
    <row r="1" spans="1:12">
      <c r="A1" s="617" t="s">
        <v>1258</v>
      </c>
      <c r="B1" s="617">
        <v>2012</v>
      </c>
      <c r="H1" s="617" t="s">
        <v>1261</v>
      </c>
      <c r="I1" s="617">
        <v>1</v>
      </c>
    </row>
    <row r="2" spans="1:12" s="621" customFormat="1" ht="24">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40625" defaultRowHeight="12.75"/>
  <cols>
    <col min="1" max="1" width="9.140625" style="513"/>
    <col min="2" max="2" width="12.7109375" style="513" customWidth="1"/>
    <col min="3" max="3" width="26.5703125" style="513" bestFit="1" customWidth="1"/>
    <col min="4" max="4" width="4.140625" style="513" customWidth="1"/>
    <col min="5" max="5" width="13.85546875" style="513" customWidth="1"/>
    <col min="6" max="6" width="49.85546875" style="513" bestFit="1" customWidth="1"/>
    <col min="7" max="16384" width="9.140625" style="513"/>
  </cols>
  <sheetData>
    <row r="1" spans="2:6">
      <c r="B1" s="514" t="s">
        <v>1084</v>
      </c>
      <c r="C1" s="514" t="s">
        <v>712</v>
      </c>
      <c r="E1" s="514" t="s">
        <v>1084</v>
      </c>
      <c r="F1" s="514" t="s">
        <v>712</v>
      </c>
    </row>
    <row r="3" spans="2:6">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2578125" defaultRowHeight="12.75"/>
  <cols>
    <col min="1" max="1" width="43.140625" style="1" customWidth="1"/>
    <col min="2" max="2" width="12.140625" style="41" customWidth="1"/>
    <col min="3" max="3" width="15.140625" style="41" customWidth="1"/>
    <col min="4" max="4" width="11.28515625" style="41" customWidth="1"/>
    <col min="5" max="5" width="16.42578125" style="41" customWidth="1"/>
    <col min="6" max="6" width="13.140625" style="41" customWidth="1"/>
    <col min="7" max="16" width="10.7109375" style="41" customWidth="1"/>
    <col min="17" max="17" width="12.42578125" style="41" customWidth="1"/>
    <col min="18" max="18" width="10" style="41" customWidth="1"/>
    <col min="19" max="19" width="18.7109375" style="41" customWidth="1"/>
    <col min="20" max="20" width="32.42578125" style="41" customWidth="1"/>
    <col min="21" max="21" width="13.85546875" style="41" customWidth="1"/>
    <col min="22" max="16384" width="11.42578125" style="1"/>
  </cols>
  <sheetData>
    <row r="1" spans="1:21" s="44" customFormat="1">
      <c r="A1" s="42" t="s">
        <v>179</v>
      </c>
      <c r="B1" s="43"/>
      <c r="C1" s="43"/>
      <c r="D1" s="43"/>
      <c r="E1" s="43"/>
      <c r="F1" s="43"/>
      <c r="G1" s="43"/>
      <c r="H1" s="43"/>
      <c r="I1" s="43"/>
      <c r="J1" s="43"/>
      <c r="K1" s="43"/>
      <c r="L1" s="43"/>
      <c r="M1" s="43"/>
      <c r="N1" s="43"/>
      <c r="O1" s="43"/>
      <c r="P1" s="43"/>
      <c r="Q1" s="43"/>
      <c r="R1" s="43"/>
      <c r="S1" s="43"/>
      <c r="T1" s="43"/>
      <c r="U1" s="43"/>
    </row>
    <row r="2" spans="1:21">
      <c r="A2" s="45" t="s">
        <v>180</v>
      </c>
      <c r="B2" s="1"/>
      <c r="C2" s="1"/>
      <c r="D2" s="1"/>
      <c r="E2" s="1"/>
      <c r="F2" s="1"/>
      <c r="G2" s="1"/>
      <c r="H2" s="1"/>
      <c r="I2" s="1"/>
      <c r="J2" s="1"/>
      <c r="K2" s="1"/>
      <c r="L2" s="1"/>
      <c r="M2" s="1"/>
      <c r="N2" s="1"/>
      <c r="O2" s="1"/>
      <c r="P2" s="1"/>
      <c r="Q2" s="1"/>
      <c r="R2" s="1"/>
      <c r="S2" s="1"/>
      <c r="T2" s="1"/>
      <c r="U2" s="1"/>
    </row>
    <row r="3" spans="1:21">
      <c r="A3" s="21" t="s">
        <v>181</v>
      </c>
      <c r="B3" s="1"/>
      <c r="C3" s="1"/>
      <c r="D3" s="1"/>
      <c r="E3" s="1"/>
      <c r="F3" s="1"/>
      <c r="G3" s="1"/>
      <c r="H3" s="1"/>
      <c r="I3" s="1"/>
      <c r="J3" s="1"/>
      <c r="K3" s="1"/>
      <c r="L3" s="1"/>
      <c r="M3" s="1"/>
      <c r="N3" s="1"/>
      <c r="O3" s="1"/>
      <c r="P3" s="1"/>
      <c r="Q3" s="1"/>
      <c r="R3" s="1"/>
      <c r="S3" s="1"/>
      <c r="T3" s="1"/>
      <c r="U3" s="1"/>
    </row>
    <row r="4" spans="1:21">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c r="A6" s="48"/>
      <c r="B6" s="49"/>
      <c r="C6" s="49"/>
      <c r="D6" s="49"/>
      <c r="E6" s="49"/>
      <c r="F6" s="50"/>
      <c r="G6" s="50"/>
      <c r="H6" s="49"/>
      <c r="I6" s="49"/>
      <c r="J6" s="50"/>
      <c r="K6" s="50"/>
    </row>
    <row r="7" spans="1:21" s="55" customFormat="1">
      <c r="A7" s="51" t="s">
        <v>184</v>
      </c>
      <c r="B7" s="52"/>
      <c r="C7" s="52"/>
      <c r="D7" s="52"/>
      <c r="E7" s="52"/>
      <c r="F7" s="53"/>
      <c r="G7" s="53"/>
      <c r="H7" s="52"/>
      <c r="I7" s="52"/>
      <c r="J7" s="53"/>
      <c r="K7" s="53"/>
      <c r="L7" s="54"/>
      <c r="M7" s="54"/>
      <c r="N7" s="54"/>
      <c r="O7" s="54"/>
      <c r="P7" s="54"/>
      <c r="Q7" s="54"/>
      <c r="R7" s="54"/>
      <c r="S7" s="54"/>
      <c r="T7" s="54"/>
      <c r="U7" s="54"/>
    </row>
    <row r="8" spans="1:21" s="6" customFormat="1">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8.2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5.2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1"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5">
      <c r="A27" s="58" t="s">
        <v>203</v>
      </c>
      <c r="B27" s="791"/>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5">
      <c r="A28" s="58" t="s">
        <v>204</v>
      </c>
      <c r="B28" s="791"/>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c r="A46" s="92"/>
      <c r="B46" s="9"/>
      <c r="C46" s="93"/>
      <c r="D46" s="94"/>
      <c r="E46" s="95"/>
      <c r="F46" s="95"/>
      <c r="G46" s="95"/>
      <c r="H46" s="95"/>
      <c r="I46" s="95"/>
      <c r="J46" s="95"/>
      <c r="K46" s="95"/>
      <c r="L46" s="95"/>
      <c r="M46" s="95"/>
      <c r="N46" s="95"/>
      <c r="O46" s="95"/>
      <c r="P46" s="95"/>
      <c r="Q46" s="95"/>
      <c r="R46" s="95"/>
      <c r="S46" s="95"/>
      <c r="T46" s="95"/>
      <c r="U46" s="95"/>
    </row>
    <row r="47" spans="1:55" s="99" customFormat="1">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8.25">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c r="A59" s="92"/>
      <c r="B59" s="9"/>
      <c r="C59" s="93"/>
      <c r="D59" s="94"/>
      <c r="E59" s="95"/>
      <c r="F59" s="95"/>
      <c r="G59" s="95"/>
      <c r="H59" s="95"/>
      <c r="I59" s="95"/>
      <c r="J59" s="95"/>
      <c r="K59" s="95"/>
      <c r="L59" s="95"/>
      <c r="M59" s="95"/>
      <c r="N59" s="95"/>
      <c r="O59" s="95"/>
      <c r="P59" s="95"/>
      <c r="Q59" s="95"/>
      <c r="R59" s="95"/>
      <c r="S59" s="95"/>
      <c r="T59" s="95"/>
      <c r="U59" s="95"/>
    </row>
    <row r="60" spans="1:21" s="99" customFormat="1">
      <c r="A60" s="96" t="s">
        <v>215</v>
      </c>
      <c r="B60" s="97"/>
      <c r="C60" s="93"/>
      <c r="D60" s="94"/>
      <c r="E60" s="98"/>
      <c r="F60" s="98"/>
      <c r="G60" s="98"/>
      <c r="H60" s="98"/>
      <c r="I60" s="98"/>
      <c r="J60" s="98"/>
      <c r="K60" s="98"/>
      <c r="L60" s="98"/>
      <c r="M60" s="98"/>
      <c r="N60" s="98"/>
      <c r="O60" s="98"/>
      <c r="P60" s="98"/>
      <c r="Q60" s="98"/>
      <c r="R60" s="98"/>
      <c r="S60" s="98"/>
      <c r="T60" s="98"/>
      <c r="U60" s="98"/>
    </row>
    <row r="61" spans="1:21">
      <c r="A61" s="92"/>
      <c r="B61" s="9"/>
      <c r="C61" s="93"/>
      <c r="D61" s="94"/>
      <c r="E61" s="95"/>
      <c r="F61" s="95"/>
      <c r="G61" s="95"/>
      <c r="H61" s="95"/>
      <c r="I61" s="95"/>
      <c r="J61" s="95"/>
      <c r="K61" s="95"/>
      <c r="L61" s="95"/>
      <c r="M61" s="95"/>
      <c r="N61" s="95"/>
      <c r="O61" s="95"/>
      <c r="P61" s="95"/>
      <c r="Q61" s="95"/>
      <c r="R61" s="95"/>
      <c r="S61" s="95"/>
      <c r="T61" s="95"/>
      <c r="U61" s="95"/>
    </row>
    <row r="62" spans="1:21" ht="38.25">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8.25">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904875</xdr:colOff>
                <xdr:row>15</xdr:row>
                <xdr:rowOff>152400</xdr:rowOff>
              </from>
              <to>
                <xdr:col>21</xdr:col>
                <xdr:colOff>66675</xdr:colOff>
                <xdr:row>17</xdr:row>
                <xdr:rowOff>9525</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109375" defaultRowHeight="12.75"/>
  <cols>
    <col min="1" max="2" width="12.7109375" style="107"/>
    <col min="3" max="3" width="12.28515625" style="107" customWidth="1"/>
    <col min="4" max="18" width="12.7109375" style="107"/>
    <col min="19" max="19" width="18.140625" style="108" customWidth="1"/>
    <col min="20" max="16384" width="12.7109375" style="107"/>
  </cols>
  <sheetData>
    <row r="1" spans="1:256" ht="15">
      <c r="A1" s="106" t="s">
        <v>220</v>
      </c>
    </row>
    <row r="2" spans="1:256" ht="15">
      <c r="A2" s="106" t="s">
        <v>221</v>
      </c>
    </row>
    <row r="3" spans="1:256" ht="13.5" thickBot="1">
      <c r="A3" s="107" t="s">
        <v>222</v>
      </c>
      <c r="Q3" s="1"/>
      <c r="R3" s="1"/>
      <c r="S3" s="41"/>
      <c r="T3" s="1"/>
    </row>
    <row r="4" spans="1:256" ht="15.7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0">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31.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0">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2578125" defaultRowHeight="12.75"/>
  <cols>
    <col min="1" max="1" width="22.42578125" style="17" customWidth="1"/>
    <col min="2" max="2" width="16.42578125" style="17" customWidth="1"/>
    <col min="3" max="3" width="16.42578125" style="41" customWidth="1"/>
    <col min="4"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c r="A4" s="134" t="s">
        <v>434</v>
      </c>
      <c r="B4" s="134"/>
      <c r="C4" s="125"/>
      <c r="D4" s="125"/>
      <c r="E4" s="125"/>
      <c r="F4" s="125"/>
      <c r="G4" s="125"/>
      <c r="H4" s="125"/>
      <c r="I4" s="125"/>
      <c r="J4" s="125"/>
      <c r="K4" s="125"/>
      <c r="L4" s="125"/>
      <c r="M4" s="125"/>
      <c r="N4" s="125"/>
      <c r="O4" s="125"/>
      <c r="P4" s="125"/>
      <c r="Q4" s="125"/>
    </row>
    <row r="5" spans="1:17" s="6" customFormat="1">
      <c r="A5" s="135" t="s">
        <v>435</v>
      </c>
      <c r="B5" s="135"/>
      <c r="C5" s="125"/>
      <c r="D5" s="41"/>
      <c r="E5" s="41"/>
      <c r="F5" s="41"/>
      <c r="G5" s="41"/>
      <c r="H5" s="41"/>
      <c r="I5" s="41"/>
      <c r="J5" s="41"/>
      <c r="K5" s="41"/>
      <c r="L5" s="41"/>
      <c r="M5" s="41"/>
      <c r="N5" s="41"/>
      <c r="O5" s="41"/>
      <c r="P5" s="41"/>
      <c r="Q5" s="41"/>
    </row>
    <row r="6" spans="1:17" s="6" customFormat="1">
      <c r="A6" s="136" t="s">
        <v>436</v>
      </c>
      <c r="B6" s="136"/>
      <c r="C6" s="125"/>
      <c r="D6" s="41"/>
      <c r="E6" s="41"/>
      <c r="F6" s="41"/>
      <c r="G6" s="41"/>
      <c r="H6" s="41"/>
      <c r="I6" s="41"/>
      <c r="J6" s="41"/>
      <c r="K6" s="41"/>
      <c r="L6" s="41"/>
      <c r="M6" s="41"/>
      <c r="N6" s="41"/>
      <c r="O6" s="41"/>
      <c r="P6" s="41"/>
      <c r="Q6" s="41"/>
    </row>
    <row r="7" spans="1:17" s="6" customFormat="1">
      <c r="A7" s="137" t="s">
        <v>437</v>
      </c>
      <c r="B7" s="137"/>
      <c r="C7" s="125"/>
      <c r="D7" s="41"/>
      <c r="E7" s="41"/>
      <c r="F7" s="41"/>
      <c r="G7" s="41"/>
      <c r="H7" s="41"/>
      <c r="I7" s="41"/>
      <c r="J7" s="41"/>
      <c r="K7" s="41"/>
      <c r="L7" s="41"/>
      <c r="M7" s="41"/>
      <c r="N7" s="41"/>
      <c r="O7" s="41"/>
      <c r="P7" s="41"/>
      <c r="Q7" s="41"/>
    </row>
    <row r="8" spans="1:17">
      <c r="A8" s="48"/>
      <c r="B8" s="48"/>
      <c r="C8" s="49"/>
      <c r="D8" s="50"/>
      <c r="E8" s="49"/>
      <c r="F8" s="49"/>
      <c r="G8" s="50"/>
      <c r="H8" s="50"/>
    </row>
    <row r="9" spans="1:17">
      <c r="A9" s="138" t="s">
        <v>440</v>
      </c>
      <c r="B9" s="138"/>
      <c r="C9" s="49"/>
      <c r="D9" s="50"/>
      <c r="E9" s="49"/>
      <c r="F9" s="49"/>
      <c r="G9" s="50"/>
      <c r="H9" s="50"/>
    </row>
    <row r="10" spans="1:17" s="55" customFormat="1">
      <c r="A10" s="51"/>
      <c r="B10" s="51"/>
      <c r="C10" s="52"/>
      <c r="D10" s="53"/>
      <c r="E10" s="52"/>
      <c r="F10" s="52"/>
      <c r="G10" s="53"/>
      <c r="H10" s="53"/>
      <c r="I10" s="54"/>
      <c r="J10" s="54"/>
      <c r="K10" s="54"/>
      <c r="L10" s="54"/>
      <c r="M10" s="54"/>
      <c r="N10" s="54"/>
      <c r="O10" s="54"/>
      <c r="P10" s="54"/>
      <c r="Q10" s="54"/>
    </row>
    <row r="11" spans="1:17">
      <c r="A11" s="48"/>
      <c r="B11" s="48"/>
      <c r="C11" s="49"/>
      <c r="D11" s="50"/>
      <c r="E11" s="49"/>
      <c r="F11" s="49"/>
      <c r="G11" s="50"/>
      <c r="H11" s="50"/>
    </row>
    <row r="12" spans="1:17">
      <c r="A12" s="48"/>
      <c r="B12" s="139" t="s">
        <v>441</v>
      </c>
      <c r="C12" s="1"/>
      <c r="D12" s="50"/>
      <c r="E12" s="49"/>
      <c r="F12" s="49"/>
      <c r="G12" s="50"/>
    </row>
    <row r="13" spans="1:17">
      <c r="A13" s="140">
        <v>1992</v>
      </c>
      <c r="B13" s="63">
        <f>'floor space projections 1990-19'!F46</f>
        <v>58.942572498745008</v>
      </c>
      <c r="C13" s="1"/>
      <c r="D13" s="49"/>
      <c r="E13" s="49"/>
      <c r="F13" s="50"/>
      <c r="G13" s="50"/>
      <c r="H13" s="1"/>
      <c r="Q13" s="1"/>
    </row>
    <row r="14" spans="1:17">
      <c r="A14" s="48"/>
      <c r="B14" s="141"/>
      <c r="C14" s="1"/>
      <c r="D14" s="49"/>
      <c r="E14" s="49"/>
      <c r="F14" s="50"/>
      <c r="G14" s="50"/>
      <c r="H14" s="1"/>
      <c r="Q14" s="1"/>
    </row>
    <row r="15" spans="1:17">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c r="A18" s="51"/>
      <c r="B18" s="51"/>
      <c r="C18" s="52"/>
      <c r="D18" s="53"/>
      <c r="E18" s="52"/>
      <c r="F18" s="52"/>
      <c r="G18" s="53"/>
      <c r="H18" s="53"/>
      <c r="I18" s="54"/>
      <c r="J18" s="54"/>
      <c r="K18" s="54"/>
      <c r="L18" s="54"/>
      <c r="M18" s="54"/>
      <c r="N18" s="54"/>
      <c r="O18" s="54"/>
      <c r="P18" s="54"/>
      <c r="Q18" s="54"/>
    </row>
    <row r="19" spans="1:17">
      <c r="A19" s="48"/>
      <c r="B19" s="48"/>
      <c r="C19" s="49"/>
      <c r="D19" s="50"/>
      <c r="E19" s="49"/>
      <c r="F19" s="49"/>
      <c r="G19" s="50"/>
      <c r="H19" s="50"/>
    </row>
    <row r="20" spans="1:17" ht="33.7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542925</xdr:colOff>
                <xdr:row>13</xdr:row>
                <xdr:rowOff>133350</xdr:rowOff>
              </from>
              <to>
                <xdr:col>9</xdr:col>
                <xdr:colOff>609600</xdr:colOff>
                <xdr:row>15</xdr:row>
                <xdr:rowOff>9525</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2578125" defaultRowHeight="12.75"/>
  <cols>
    <col min="1" max="1" width="40.28515625" style="1" customWidth="1"/>
    <col min="2" max="2" width="10.140625" style="41" customWidth="1"/>
    <col min="3" max="3" width="58.7109375" style="1" customWidth="1"/>
    <col min="4" max="4" width="34.42578125" style="1" customWidth="1"/>
    <col min="5" max="5" width="14.140625" style="1" customWidth="1"/>
    <col min="6" max="6" width="17" style="1" customWidth="1"/>
    <col min="7"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c r="B2" s="1"/>
    </row>
    <row r="3" spans="1:23">
      <c r="A3" s="21" t="s">
        <v>181</v>
      </c>
      <c r="B3" s="1"/>
    </row>
    <row r="4" spans="1:2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c r="A7" s="42" t="s">
        <v>445</v>
      </c>
      <c r="B7" s="147"/>
      <c r="D7" s="42"/>
    </row>
    <row r="8" spans="1:23">
      <c r="D8" s="6"/>
    </row>
    <row r="9" spans="1:23">
      <c r="B9" s="6"/>
    </row>
    <row r="10" spans="1:23">
      <c r="A10" s="148" t="s">
        <v>446</v>
      </c>
      <c r="B10" s="149" t="s">
        <v>447</v>
      </c>
      <c r="C10" s="12"/>
      <c r="D10" s="9" t="s">
        <v>448</v>
      </c>
    </row>
    <row r="11" spans="1:23">
      <c r="A11" s="150" t="s">
        <v>449</v>
      </c>
      <c r="B11" s="151">
        <v>134716.5874136934</v>
      </c>
      <c r="C11" s="414" t="s">
        <v>808</v>
      </c>
      <c r="D11" s="802" t="s">
        <v>450</v>
      </c>
    </row>
    <row r="12" spans="1:23">
      <c r="A12" s="150" t="s">
        <v>138</v>
      </c>
      <c r="B12" s="152">
        <v>12</v>
      </c>
      <c r="C12" s="12" t="s">
        <v>451</v>
      </c>
      <c r="D12" s="802"/>
    </row>
    <row r="13" spans="1:23">
      <c r="A13" s="150" t="s">
        <v>452</v>
      </c>
      <c r="B13" s="151">
        <v>322</v>
      </c>
      <c r="C13" s="12"/>
      <c r="D13" s="802"/>
    </row>
    <row r="14" spans="1:23">
      <c r="A14" s="150" t="s">
        <v>453</v>
      </c>
      <c r="B14" s="151">
        <v>74788</v>
      </c>
      <c r="C14" s="12" t="s">
        <v>454</v>
      </c>
      <c r="D14" s="802"/>
    </row>
    <row r="15" spans="1:23">
      <c r="A15" s="150" t="s">
        <v>142</v>
      </c>
      <c r="B15" s="151">
        <v>17766.61</v>
      </c>
      <c r="C15" s="12" t="s">
        <v>455</v>
      </c>
      <c r="D15" s="802"/>
    </row>
    <row r="16" spans="1:23">
      <c r="A16" s="150" t="s">
        <v>456</v>
      </c>
      <c r="B16" s="151">
        <v>864.23</v>
      </c>
      <c r="C16" s="12" t="s">
        <v>457</v>
      </c>
      <c r="D16" s="802"/>
    </row>
    <row r="17" spans="1:4">
      <c r="A17" s="150" t="s">
        <v>458</v>
      </c>
      <c r="B17" s="151">
        <v>237.1</v>
      </c>
      <c r="C17" s="12" t="s">
        <v>459</v>
      </c>
      <c r="D17" s="802"/>
    </row>
    <row r="18" spans="1:4">
      <c r="A18" s="150" t="s">
        <v>460</v>
      </c>
      <c r="B18" s="151">
        <v>1742.02</v>
      </c>
      <c r="C18" s="12" t="s">
        <v>461</v>
      </c>
      <c r="D18" s="802"/>
    </row>
    <row r="19" spans="1:4">
      <c r="A19" s="150" t="s">
        <v>462</v>
      </c>
      <c r="B19" s="151" t="s">
        <v>463</v>
      </c>
      <c r="C19" s="12"/>
      <c r="D19" s="802"/>
    </row>
    <row r="20" spans="1:4">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75"/>
  <cols>
    <col min="1" max="1" width="24.140625" style="68" customWidth="1"/>
    <col min="2" max="3" width="7.7109375" style="68" customWidth="1"/>
    <col min="4" max="6" width="9" style="68"/>
    <col min="7" max="7" width="12.85546875" style="68" customWidth="1"/>
    <col min="8" max="11" width="9" style="68"/>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799" t="s">
        <v>466</v>
      </c>
      <c r="B16" s="799"/>
      <c r="C16" s="799"/>
      <c r="D16" s="799"/>
      <c r="E16" s="799"/>
      <c r="F16" s="799"/>
      <c r="G16" s="799"/>
      <c r="H16" s="799"/>
      <c r="I16" s="799"/>
      <c r="J16" s="799"/>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38.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5.5">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799" t="s">
        <v>475</v>
      </c>
      <c r="B27" s="799"/>
      <c r="C27" s="799"/>
      <c r="D27" s="799"/>
      <c r="E27" s="799"/>
      <c r="F27" s="799"/>
      <c r="G27" s="799"/>
      <c r="H27" s="799"/>
      <c r="I27" s="799"/>
      <c r="J27" s="799"/>
      <c r="K27" s="156"/>
      <c r="L27" s="156"/>
      <c r="M27" s="156"/>
      <c r="N27" s="156"/>
      <c r="O27" s="156"/>
      <c r="P27" s="156"/>
      <c r="Q27" s="156"/>
      <c r="R27" s="156"/>
      <c r="S27" s="157"/>
    </row>
    <row r="29" spans="1:256" ht="38.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799" t="s">
        <v>478</v>
      </c>
      <c r="B40" s="799"/>
      <c r="C40" s="799"/>
      <c r="D40" s="799"/>
      <c r="E40" s="799"/>
      <c r="F40" s="799"/>
      <c r="G40" s="799"/>
      <c r="H40" s="799"/>
      <c r="I40" s="799"/>
      <c r="J40" s="799"/>
      <c r="K40" s="156"/>
      <c r="L40" s="4"/>
      <c r="M40" s="4"/>
      <c r="N40" s="4"/>
      <c r="O40" s="4"/>
      <c r="P40" s="4"/>
      <c r="Q40" s="4"/>
      <c r="R40" s="4"/>
      <c r="S40" s="1"/>
    </row>
    <row r="41" spans="1:19">
      <c r="A41" s="169"/>
      <c r="B41" s="169"/>
      <c r="C41" s="1"/>
      <c r="D41" s="1"/>
      <c r="E41" s="1"/>
      <c r="F41" s="1"/>
      <c r="G41" s="1"/>
      <c r="H41" s="1"/>
      <c r="I41" s="1"/>
      <c r="J41" s="1"/>
      <c r="K41" s="161"/>
      <c r="L41" s="1"/>
      <c r="M41" s="1"/>
      <c r="N41" s="1"/>
      <c r="O41" s="1"/>
      <c r="P41" s="1"/>
      <c r="Q41" s="1"/>
      <c r="R41" s="1"/>
      <c r="S41" s="1"/>
    </row>
    <row r="42" spans="1:19" ht="38.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38.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38.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38.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38.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38.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75"/>
  <cols>
    <col min="1" max="1" width="24.140625" style="68" customWidth="1"/>
    <col min="2" max="3" width="7.7109375" style="68" customWidth="1"/>
    <col min="4" max="6" width="9" style="68"/>
    <col min="7" max="7" width="12.85546875" style="68" customWidth="1"/>
    <col min="8" max="10" width="9" style="68"/>
    <col min="11" max="11" width="9" style="172"/>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799" t="s">
        <v>482</v>
      </c>
      <c r="B7" s="799"/>
      <c r="C7" s="799"/>
      <c r="D7" s="799"/>
      <c r="E7" s="799"/>
      <c r="F7" s="799"/>
      <c r="G7" s="799"/>
      <c r="H7" s="799"/>
      <c r="I7" s="799"/>
      <c r="J7" s="799"/>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799" t="s">
        <v>483</v>
      </c>
      <c r="B17" s="799"/>
      <c r="C17" s="799"/>
      <c r="D17" s="799"/>
      <c r="E17" s="799"/>
      <c r="F17" s="799"/>
      <c r="G17" s="799"/>
      <c r="H17" s="799"/>
      <c r="I17" s="799"/>
      <c r="J17" s="799"/>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799" t="s">
        <v>486</v>
      </c>
      <c r="B21" s="799"/>
      <c r="C21" s="799"/>
      <c r="D21" s="799"/>
      <c r="E21" s="799"/>
      <c r="F21" s="799"/>
      <c r="G21" s="799"/>
      <c r="H21" s="799"/>
      <c r="I21" s="799"/>
      <c r="J21" s="799"/>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38.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799" t="s">
        <v>488</v>
      </c>
      <c r="B32" s="799"/>
      <c r="C32" s="799"/>
      <c r="D32" s="799"/>
      <c r="E32" s="799"/>
      <c r="F32" s="799"/>
      <c r="G32" s="799"/>
      <c r="H32" s="799"/>
      <c r="I32" s="799"/>
      <c r="J32" s="799"/>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38.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5546875" defaultRowHeight="12.75"/>
  <cols>
    <col min="1" max="1" width="50" customWidth="1"/>
    <col min="2" max="2" width="17" customWidth="1"/>
    <col min="4" max="4" width="15.7109375" customWidth="1"/>
    <col min="6" max="6" width="15" customWidth="1"/>
    <col min="7" max="7" width="20.28515625" customWidth="1"/>
    <col min="8" max="8" width="14.285156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5" thickBot="1">
      <c r="B4" s="480" t="s">
        <v>923</v>
      </c>
      <c r="C4" s="481">
        <f>Deflator!P25</f>
        <v>6.3593283333333304</v>
      </c>
      <c r="D4" t="s">
        <v>920</v>
      </c>
      <c r="E4" s="458"/>
    </row>
    <row r="5" spans="1:13" ht="13.5" thickBot="1">
      <c r="D5" s="795" t="s">
        <v>781</v>
      </c>
      <c r="E5" s="796"/>
      <c r="F5" s="797"/>
      <c r="G5" s="795" t="s">
        <v>780</v>
      </c>
      <c r="H5" s="796"/>
      <c r="I5" s="797"/>
      <c r="J5" s="314"/>
    </row>
    <row r="6" spans="1:13">
      <c r="C6" s="314" t="s">
        <v>777</v>
      </c>
      <c r="D6" s="314" t="s">
        <v>778</v>
      </c>
      <c r="E6" s="314" t="s">
        <v>442</v>
      </c>
      <c r="F6" s="314" t="s">
        <v>919</v>
      </c>
      <c r="G6" s="392" t="s">
        <v>782</v>
      </c>
      <c r="H6" s="393" t="s">
        <v>783</v>
      </c>
      <c r="I6" s="394" t="s">
        <v>786</v>
      </c>
    </row>
    <row r="7" spans="1:13" ht="1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7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Bruno Merven</cp:lastModifiedBy>
  <dcterms:created xsi:type="dcterms:W3CDTF">2011-08-29T19:48:28Z</dcterms:created>
  <dcterms:modified xsi:type="dcterms:W3CDTF">2023-09-21T09:25:32Z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