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A64F93C-904C-4766-ACF1-DB5643C985DD}" xr6:coauthVersionLast="47" xr6:coauthVersionMax="47" xr10:uidLastSave="{00000000-0000-0000-0000-000000000000}"/>
  <bookViews>
    <workbookView xWindow="-4005" yWindow="-21600" windowWidth="29985" windowHeight="21000" firstSheet="2" activeTab="8"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CombustionEmissions" sheetId="6" r:id="rId10"/>
    <sheet name="FugitiveEmissions" sheetId="7" r:id="rId11"/>
    <sheet name="EmissionsAggregationCO2eq" sheetId="8" r:id="rId12"/>
    <sheet name="FuelTechs" sheetId="9" r:id="rId13"/>
    <sheet name="Liq Fuel Prices" sheetId="10" r:id="rId14"/>
    <sheet name="IEA_WEO" sheetId="12" r:id="rId15"/>
    <sheet name="FuelDistribution" sheetId="14"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FuelTechs!$B$8:$AA$56</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NameConv!$B$5:$C$44</definedName>
    <definedName name="FuelNamesLong">NameConv!$B$5:$B$44</definedName>
    <definedName name="FuelNamesShort">NameConv!$C$5:$C$44</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5" hidden="1">"VPJDZVPESBNLN75EMHY6J774"</definedName>
    <definedName name="Pal_Workbook_GUID" localSheetId="10" hidden="1">"VPJDZVPESBNLN75EMHY6J774"</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NameConv!$B$49:$C$57</definedName>
    <definedName name="SectorNamesLong">NameConv!$C$49:$C$57</definedName>
    <definedName name="SectorNamesShort">NameConv!$B$49:$B$57</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10"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2" i="5" l="1"/>
  <c r="H32" i="5"/>
  <c r="G32" i="5"/>
  <c r="F32" i="5"/>
  <c r="H30" i="5"/>
  <c r="I30" i="5"/>
  <c r="F30" i="5"/>
  <c r="G30" i="5"/>
  <c r="M20" i="17" l="1"/>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A63" i="6"/>
  <c r="A64" i="6"/>
  <c r="A65" i="6"/>
  <c r="A66" i="6"/>
  <c r="A67" i="6"/>
  <c r="A68" i="6"/>
  <c r="A69" i="6"/>
  <c r="BA63" i="6"/>
  <c r="BB63" i="6"/>
  <c r="BC63" i="6"/>
  <c r="BD63" i="6"/>
  <c r="BE63" i="6"/>
  <c r="BF63" i="6"/>
  <c r="BG63" i="6"/>
  <c r="BH63" i="6"/>
  <c r="BI63" i="6"/>
  <c r="BJ63" i="6"/>
  <c r="BA64" i="6"/>
  <c r="BB64" i="6"/>
  <c r="BC64" i="6"/>
  <c r="BD64" i="6"/>
  <c r="BE64" i="6"/>
  <c r="BF64" i="6"/>
  <c r="BG64" i="6"/>
  <c r="BH64" i="6"/>
  <c r="BI64" i="6"/>
  <c r="BJ64" i="6"/>
  <c r="BA65" i="6"/>
  <c r="BB65" i="6"/>
  <c r="BC65" i="6"/>
  <c r="BD65" i="6"/>
  <c r="BE65" i="6"/>
  <c r="BF65" i="6"/>
  <c r="BG65" i="6"/>
  <c r="BH65" i="6"/>
  <c r="BI65" i="6"/>
  <c r="BJ65" i="6"/>
  <c r="BA66" i="6"/>
  <c r="BB66" i="6"/>
  <c r="BC66" i="6"/>
  <c r="BD66" i="6"/>
  <c r="BE66" i="6"/>
  <c r="BF66" i="6"/>
  <c r="BG66" i="6"/>
  <c r="BH66" i="6"/>
  <c r="BI66" i="6"/>
  <c r="BJ66" i="6"/>
  <c r="BA67" i="6"/>
  <c r="BB67" i="6"/>
  <c r="BC67" i="6"/>
  <c r="BD67" i="6"/>
  <c r="BE67" i="6"/>
  <c r="BF67" i="6"/>
  <c r="BG67" i="6"/>
  <c r="BH67" i="6"/>
  <c r="BI67" i="6"/>
  <c r="BJ67" i="6"/>
  <c r="BA68" i="6"/>
  <c r="BB68" i="6"/>
  <c r="BC68" i="6"/>
  <c r="BD68" i="6"/>
  <c r="BE68" i="6"/>
  <c r="BF68" i="6"/>
  <c r="BG68" i="6"/>
  <c r="BH68" i="6"/>
  <c r="BI68" i="6"/>
  <c r="BJ68" i="6"/>
  <c r="BA69" i="6"/>
  <c r="BB69" i="6"/>
  <c r="BC69" i="6"/>
  <c r="BD69" i="6"/>
  <c r="BE69" i="6"/>
  <c r="BF69" i="6"/>
  <c r="BG69" i="6"/>
  <c r="BH69" i="6"/>
  <c r="BI69" i="6"/>
  <c r="BJ69" i="6"/>
  <c r="BJ62" i="6"/>
  <c r="BI62" i="6"/>
  <c r="BB62" i="6"/>
  <c r="BC62" i="6"/>
  <c r="BD62" i="6"/>
  <c r="BE62" i="6"/>
  <c r="BF62" i="6"/>
  <c r="BG62" i="6"/>
  <c r="BH62" i="6"/>
  <c r="BA62" i="6"/>
  <c r="B63" i="6"/>
  <c r="B64" i="6"/>
  <c r="B65" i="6"/>
  <c r="B66" i="6"/>
  <c r="B67" i="6"/>
  <c r="B68" i="6"/>
  <c r="B69" i="6"/>
  <c r="B62" i="6"/>
  <c r="BB16" i="6"/>
  <c r="BC16" i="6"/>
  <c r="BD16" i="6"/>
  <c r="BE16" i="6"/>
  <c r="BF16" i="6"/>
  <c r="BG16" i="6"/>
  <c r="BH16" i="6"/>
  <c r="BI16" i="6"/>
  <c r="BJ16" i="6"/>
  <c r="BA16" i="6"/>
  <c r="A62" i="6"/>
  <c r="T51" i="9"/>
  <c r="E51" i="9"/>
  <c r="L51" i="9" s="1"/>
  <c r="D51" i="9"/>
  <c r="U51" i="9" s="1"/>
  <c r="T37" i="9"/>
  <c r="E37" i="9"/>
  <c r="L37" i="9" s="1"/>
  <c r="D37" i="9"/>
  <c r="U37" i="9" s="1"/>
  <c r="T46" i="9"/>
  <c r="E46" i="9"/>
  <c r="L46" i="9" s="1"/>
  <c r="D46" i="9"/>
  <c r="U46"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1" i="9"/>
  <c r="S51" i="9" s="1"/>
  <c r="K37" i="9"/>
  <c r="S37" i="9" s="1"/>
  <c r="K46" i="9"/>
  <c r="S46" i="9" s="1"/>
  <c r="G83" i="5"/>
  <c r="G73" i="5"/>
  <c r="G72" i="5"/>
  <c r="F61" i="5"/>
  <c r="G70" i="5"/>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56" i="9"/>
  <c r="E56" i="9"/>
  <c r="L56" i="9" s="1"/>
  <c r="D56" i="9"/>
  <c r="U56" i="9" s="1"/>
  <c r="T55" i="9"/>
  <c r="E55" i="9"/>
  <c r="L55" i="9" s="1"/>
  <c r="D55" i="9"/>
  <c r="U55" i="9" s="1"/>
  <c r="T54" i="9"/>
  <c r="E54" i="9"/>
  <c r="L54" i="9" s="1"/>
  <c r="D54" i="9"/>
  <c r="T53" i="9"/>
  <c r="E53" i="9"/>
  <c r="L53" i="9" s="1"/>
  <c r="D53" i="9"/>
  <c r="U53" i="9" s="1"/>
  <c r="T52" i="9"/>
  <c r="E52" i="9"/>
  <c r="L52" i="9" s="1"/>
  <c r="D52" i="9"/>
  <c r="U52" i="9" s="1"/>
  <c r="T50" i="9"/>
  <c r="E50" i="9"/>
  <c r="L50" i="9" s="1"/>
  <c r="D50" i="9"/>
  <c r="U50" i="9" s="1"/>
  <c r="T49" i="9"/>
  <c r="E49" i="9"/>
  <c r="L49" i="9" s="1"/>
  <c r="D49" i="9"/>
  <c r="U49" i="9" s="1"/>
  <c r="T48" i="9"/>
  <c r="E48" i="9"/>
  <c r="L48" i="9" s="1"/>
  <c r="D48" i="9"/>
  <c r="U48" i="9" s="1"/>
  <c r="T47" i="9"/>
  <c r="E47" i="9"/>
  <c r="L47" i="9" s="1"/>
  <c r="D47" i="9"/>
  <c r="K47" i="9" s="1"/>
  <c r="S47" i="9" s="1"/>
  <c r="T45" i="9"/>
  <c r="E45" i="9"/>
  <c r="L45" i="9" s="1"/>
  <c r="D45" i="9"/>
  <c r="U45" i="9" s="1"/>
  <c r="T44" i="9"/>
  <c r="E44" i="9"/>
  <c r="L44" i="9" s="1"/>
  <c r="D44" i="9"/>
  <c r="T43" i="9"/>
  <c r="E43" i="9"/>
  <c r="L43" i="9" s="1"/>
  <c r="D43" i="9"/>
  <c r="U43" i="9" s="1"/>
  <c r="T42" i="9"/>
  <c r="E42" i="9"/>
  <c r="L42" i="9" s="1"/>
  <c r="D42" i="9"/>
  <c r="T41" i="9"/>
  <c r="E41" i="9"/>
  <c r="L41" i="9" s="1"/>
  <c r="D41" i="9"/>
  <c r="T40" i="9"/>
  <c r="E40" i="9"/>
  <c r="L40" i="9" s="1"/>
  <c r="D40" i="9"/>
  <c r="T39" i="9"/>
  <c r="E39" i="9"/>
  <c r="L39" i="9" s="1"/>
  <c r="D39" i="9"/>
  <c r="T38" i="9"/>
  <c r="E38" i="9"/>
  <c r="L38" i="9" s="1"/>
  <c r="D38" i="9"/>
  <c r="U38" i="9" s="1"/>
  <c r="T36" i="9"/>
  <c r="E36" i="9"/>
  <c r="L36" i="9" s="1"/>
  <c r="D36" i="9"/>
  <c r="U36" i="9" s="1"/>
  <c r="T35" i="9"/>
  <c r="E35" i="9"/>
  <c r="L35" i="9" s="1"/>
  <c r="D35" i="9"/>
  <c r="U35" i="9" s="1"/>
  <c r="T34" i="9"/>
  <c r="E34" i="9"/>
  <c r="L34" i="9" s="1"/>
  <c r="D34" i="9"/>
  <c r="K34" i="9" s="1"/>
  <c r="S34" i="9" s="1"/>
  <c r="T33" i="9"/>
  <c r="E33" i="9"/>
  <c r="L33" i="9" s="1"/>
  <c r="D33" i="9"/>
  <c r="K33" i="9" s="1"/>
  <c r="S33" i="9" s="1"/>
  <c r="T32" i="9"/>
  <c r="E32" i="9"/>
  <c r="L32" i="9" s="1"/>
  <c r="D32" i="9"/>
  <c r="T31" i="9"/>
  <c r="E31" i="9"/>
  <c r="L31" i="9" s="1"/>
  <c r="D31" i="9"/>
  <c r="K31" i="9" s="1"/>
  <c r="S31" i="9" s="1"/>
  <c r="T30" i="9"/>
  <c r="E30" i="9"/>
  <c r="L30" i="9" s="1"/>
  <c r="D30" i="9"/>
  <c r="U30" i="9" s="1"/>
  <c r="T29" i="9"/>
  <c r="E29" i="9"/>
  <c r="L29" i="9" s="1"/>
  <c r="D29" i="9"/>
  <c r="U29" i="9" s="1"/>
  <c r="T28" i="9"/>
  <c r="E28" i="9"/>
  <c r="L28" i="9" s="1"/>
  <c r="D28" i="9"/>
  <c r="U28" i="9" s="1"/>
  <c r="T27" i="9"/>
  <c r="E27" i="9"/>
  <c r="L27" i="9" s="1"/>
  <c r="D27" i="9"/>
  <c r="T26" i="9"/>
  <c r="E26" i="9"/>
  <c r="L26" i="9" s="1"/>
  <c r="D26" i="9"/>
  <c r="U26" i="9" s="1"/>
  <c r="T25" i="9"/>
  <c r="E25" i="9"/>
  <c r="L25" i="9" s="1"/>
  <c r="D25" i="9"/>
  <c r="K25" i="9" s="1"/>
  <c r="S25" i="9" s="1"/>
  <c r="U24" i="9"/>
  <c r="T24" i="9"/>
  <c r="E24" i="9"/>
  <c r="L24" i="9" s="1"/>
  <c r="D24" i="9"/>
  <c r="K24" i="9" s="1"/>
  <c r="S24" i="9" s="1"/>
  <c r="T23" i="9"/>
  <c r="E23" i="9"/>
  <c r="L23" i="9" s="1"/>
  <c r="D23" i="9"/>
  <c r="T22" i="9"/>
  <c r="E22" i="9"/>
  <c r="L22" i="9" s="1"/>
  <c r="D22" i="9"/>
  <c r="U22" i="9" s="1"/>
  <c r="U21" i="9"/>
  <c r="T21" i="9"/>
  <c r="E21" i="9"/>
  <c r="L21" i="9" s="1"/>
  <c r="D21" i="9"/>
  <c r="K21" i="9" s="1"/>
  <c r="S21" i="9" s="1"/>
  <c r="T20" i="9"/>
  <c r="E20" i="9"/>
  <c r="L20" i="9" s="1"/>
  <c r="D20" i="9"/>
  <c r="K20" i="9" s="1"/>
  <c r="S20"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U11" i="9"/>
  <c r="T11" i="9"/>
  <c r="E11" i="9"/>
  <c r="L11" i="9" s="1"/>
  <c r="D11" i="9"/>
  <c r="K11" i="9" s="1"/>
  <c r="S11" i="9" s="1"/>
  <c r="T10" i="9"/>
  <c r="E10" i="9"/>
  <c r="L10" i="9" s="1"/>
  <c r="D10" i="9"/>
  <c r="K10" i="9" s="1"/>
  <c r="S10" i="9" s="1"/>
  <c r="T9" i="9"/>
  <c r="E9" i="9"/>
  <c r="L9" i="9" s="1"/>
  <c r="D9" i="9"/>
  <c r="K9" i="9" s="1"/>
  <c r="S9" i="9" s="1"/>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B60" i="6"/>
  <c r="A60" i="6"/>
  <c r="B59" i="6"/>
  <c r="A59" i="6"/>
  <c r="B58" i="6"/>
  <c r="A58" i="6"/>
  <c r="B57" i="6"/>
  <c r="A57" i="6"/>
  <c r="B56" i="6"/>
  <c r="A56" i="6"/>
  <c r="B55" i="6"/>
  <c r="A55" i="6"/>
  <c r="B54" i="6"/>
  <c r="A54" i="6"/>
  <c r="B53" i="6"/>
  <c r="A53" i="6"/>
  <c r="AZ16" i="6"/>
  <c r="AY16" i="6"/>
  <c r="AX16" i="6"/>
  <c r="AW16" i="6"/>
  <c r="AV16" i="6"/>
  <c r="AU16" i="6"/>
  <c r="AT16" i="6"/>
  <c r="AS16" i="6"/>
  <c r="AR16" i="6"/>
  <c r="AQ16" i="6"/>
  <c r="B51" i="6"/>
  <c r="A51" i="6"/>
  <c r="B50" i="6"/>
  <c r="A50" i="6"/>
  <c r="B49" i="6"/>
  <c r="A49" i="6"/>
  <c r="B48" i="6"/>
  <c r="A48" i="6"/>
  <c r="B47" i="6"/>
  <c r="A47" i="6"/>
  <c r="B46" i="6"/>
  <c r="A46" i="6"/>
  <c r="B45" i="6"/>
  <c r="A45" i="6"/>
  <c r="B44" i="6"/>
  <c r="A44" i="6"/>
  <c r="AP16" i="6"/>
  <c r="AO16" i="6"/>
  <c r="AN16" i="6"/>
  <c r="AM16" i="6"/>
  <c r="AL16" i="6"/>
  <c r="AK16" i="6"/>
  <c r="AJ16" i="6"/>
  <c r="AI16" i="6"/>
  <c r="AH16" i="6"/>
  <c r="AG16" i="6"/>
  <c r="B42" i="6"/>
  <c r="A42" i="6"/>
  <c r="B41" i="6"/>
  <c r="A41" i="6"/>
  <c r="B40" i="6"/>
  <c r="A40" i="6"/>
  <c r="B39" i="6"/>
  <c r="A39" i="6"/>
  <c r="B38" i="6"/>
  <c r="A38" i="6"/>
  <c r="B37" i="6"/>
  <c r="A37" i="6"/>
  <c r="B36" i="6"/>
  <c r="A36" i="6"/>
  <c r="B35" i="6"/>
  <c r="A35" i="6"/>
  <c r="AF16" i="6"/>
  <c r="AE16" i="6"/>
  <c r="AD16" i="6"/>
  <c r="AC16" i="6"/>
  <c r="AB16" i="6"/>
  <c r="AA16" i="6"/>
  <c r="Z16" i="6"/>
  <c r="Y16" i="6"/>
  <c r="X16" i="6"/>
  <c r="W16" i="6"/>
  <c r="B33" i="6"/>
  <c r="A33" i="6"/>
  <c r="B32" i="6"/>
  <c r="A32" i="6"/>
  <c r="B31" i="6"/>
  <c r="A31" i="6"/>
  <c r="B30" i="6"/>
  <c r="A30" i="6"/>
  <c r="B29" i="6"/>
  <c r="A29" i="6"/>
  <c r="B28" i="6"/>
  <c r="A28" i="6"/>
  <c r="B27" i="6"/>
  <c r="A27" i="6"/>
  <c r="B26" i="6"/>
  <c r="A26" i="6"/>
  <c r="V16" i="6"/>
  <c r="U16" i="6"/>
  <c r="T16" i="6"/>
  <c r="S16" i="6"/>
  <c r="R16" i="6"/>
  <c r="Q16" i="6"/>
  <c r="P16" i="6"/>
  <c r="O16" i="6"/>
  <c r="N16" i="6"/>
  <c r="M16" i="6"/>
  <c r="B24" i="6"/>
  <c r="A24" i="6"/>
  <c r="B23" i="6"/>
  <c r="A23" i="6"/>
  <c r="B22" i="6"/>
  <c r="A22" i="6"/>
  <c r="B21" i="6"/>
  <c r="A21" i="6"/>
  <c r="B20" i="6"/>
  <c r="A20" i="6"/>
  <c r="B19" i="6"/>
  <c r="A19" i="6"/>
  <c r="B18" i="6"/>
  <c r="A18" i="6"/>
  <c r="B17" i="6"/>
  <c r="A17" i="6"/>
  <c r="L16" i="6"/>
  <c r="K16" i="6"/>
  <c r="J16" i="6"/>
  <c r="I16" i="6"/>
  <c r="H16" i="6"/>
  <c r="G16" i="6"/>
  <c r="F16" i="6"/>
  <c r="E16" i="6"/>
  <c r="D16" i="6"/>
  <c r="C16" i="6"/>
  <c r="C104" i="5"/>
  <c r="A104" i="5" s="1"/>
  <c r="C103" i="5"/>
  <c r="A103" i="5" s="1"/>
  <c r="C102" i="5"/>
  <c r="A102" i="5" s="1"/>
  <c r="C101" i="5"/>
  <c r="A101" i="5" s="1"/>
  <c r="C100" i="5"/>
  <c r="A100" i="5" s="1"/>
  <c r="C99" i="5"/>
  <c r="A99" i="5" s="1"/>
  <c r="C98" i="5"/>
  <c r="G97" i="5"/>
  <c r="C97" i="5"/>
  <c r="A97" i="5" s="1"/>
  <c r="D95" i="5"/>
  <c r="A95" i="5" s="1"/>
  <c r="D94" i="5"/>
  <c r="D92" i="5"/>
  <c r="D91" i="5"/>
  <c r="D90" i="5"/>
  <c r="A90" i="5" s="1"/>
  <c r="K89" i="5"/>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51" i="15"/>
  <c r="A6" i="3"/>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118" i="2"/>
  <c r="B26" i="2"/>
  <c r="AI36" i="5" l="1"/>
  <c r="H16" i="5"/>
  <c r="AJ30" i="14"/>
  <c r="AI31" i="14"/>
  <c r="AC30" i="14"/>
  <c r="AD31" i="14"/>
  <c r="AK7" i="14"/>
  <c r="AJ8" i="14"/>
  <c r="AE8" i="14"/>
  <c r="AD7" i="14"/>
  <c r="AI25" i="14"/>
  <c r="AJ24" i="14"/>
  <c r="AD24" i="14"/>
  <c r="AE25" i="14"/>
  <c r="C42" i="14"/>
  <c r="G80" i="14" s="1"/>
  <c r="G81" i="14" s="1"/>
  <c r="G82" i="14" s="1"/>
  <c r="D40" i="14"/>
  <c r="G40" i="14" s="1"/>
  <c r="F42" i="14"/>
  <c r="F32" i="14"/>
  <c r="K18" i="9"/>
  <c r="S18" i="9" s="1"/>
  <c r="U33" i="9"/>
  <c r="K30" i="9"/>
  <c r="S30" i="9" s="1"/>
  <c r="K45" i="9"/>
  <c r="S45" i="9" s="1"/>
  <c r="K17" i="9"/>
  <c r="S17" i="9" s="1"/>
  <c r="K43" i="9"/>
  <c r="S43" i="9" s="1"/>
  <c r="U10" i="9"/>
  <c r="K12" i="9"/>
  <c r="S12" i="9" s="1"/>
  <c r="L29" i="6"/>
  <c r="AD38" i="6"/>
  <c r="AL50" i="6"/>
  <c r="AR55" i="6"/>
  <c r="U9" i="9"/>
  <c r="K36" i="9"/>
  <c r="S36" i="9" s="1"/>
  <c r="K26" i="9"/>
  <c r="S26" i="9" s="1"/>
  <c r="AF41" i="6"/>
  <c r="AN50" i="6"/>
  <c r="AT55" i="6"/>
  <c r="K56" i="9"/>
  <c r="S56" i="9" s="1"/>
  <c r="E18" i="6"/>
  <c r="F22" i="6"/>
  <c r="AV59" i="6"/>
  <c r="G23" i="6"/>
  <c r="O33" i="6"/>
  <c r="W40" i="6"/>
  <c r="K22" i="9"/>
  <c r="S22" i="9" s="1"/>
  <c r="U34" i="9"/>
  <c r="K38" i="9"/>
  <c r="S38" i="9" s="1"/>
  <c r="U47" i="9"/>
  <c r="K50" i="9"/>
  <c r="S50" i="9" s="1"/>
  <c r="AE40" i="6"/>
  <c r="M31" i="6"/>
  <c r="K53" i="9"/>
  <c r="S53" i="9" s="1"/>
  <c r="H20" i="6"/>
  <c r="P27" i="6"/>
  <c r="X40" i="6"/>
  <c r="L53" i="6"/>
  <c r="Q33" i="6"/>
  <c r="Y36" i="6"/>
  <c r="U25" i="9"/>
  <c r="AU60" i="6"/>
  <c r="J24" i="6"/>
  <c r="R29" i="6"/>
  <c r="Z38" i="6"/>
  <c r="AH47" i="6"/>
  <c r="K29" i="9"/>
  <c r="S29" i="9" s="1"/>
  <c r="K35" i="9"/>
  <c r="S35" i="9" s="1"/>
  <c r="K48" i="9"/>
  <c r="S48" i="9" s="1"/>
  <c r="AO48" i="6"/>
  <c r="K22" i="6"/>
  <c r="L20" i="6"/>
  <c r="T26" i="6"/>
  <c r="AB42" i="6"/>
  <c r="U20" i="9"/>
  <c r="K55" i="9"/>
  <c r="S55" i="9" s="1"/>
  <c r="S30" i="6"/>
  <c r="U33" i="6"/>
  <c r="AC42" i="6"/>
  <c r="AK51" i="6"/>
  <c r="K52" i="9"/>
  <c r="S52"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B74" i="5"/>
  <c r="B26" i="15" s="1"/>
  <c r="A74" i="5"/>
  <c r="C26" i="15" s="1"/>
  <c r="B71" i="5"/>
  <c r="B23" i="15" s="1"/>
  <c r="A71" i="5"/>
  <c r="C23" i="15" s="1"/>
  <c r="B60" i="5"/>
  <c r="A60" i="5"/>
  <c r="A12" i="15" s="1"/>
  <c r="A76" i="5"/>
  <c r="C28" i="15" s="1"/>
  <c r="B78" i="5"/>
  <c r="B30" i="15" s="1"/>
  <c r="A78" i="5"/>
  <c r="C30" i="15" s="1"/>
  <c r="B69" i="5"/>
  <c r="B21" i="15" s="1"/>
  <c r="A69" i="5"/>
  <c r="C21" i="15" s="1"/>
  <c r="A14" i="15"/>
  <c r="C14"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L32" i="6"/>
  <c r="E17" i="6"/>
  <c r="G21" i="6"/>
  <c r="AV60" i="6"/>
  <c r="L18" i="6"/>
  <c r="L17" i="6"/>
  <c r="AF40" i="6"/>
  <c r="Q30" i="6"/>
  <c r="AF36" i="6"/>
  <c r="Z41" i="6"/>
  <c r="R30" i="6"/>
  <c r="L31" i="6"/>
  <c r="E20" i="6"/>
  <c r="AV56" i="6"/>
  <c r="M32" i="6"/>
  <c r="Q29" i="6"/>
  <c r="W42" i="6"/>
  <c r="T29" i="6"/>
  <c r="L23" i="6"/>
  <c r="AD39" i="6"/>
  <c r="AF35" i="6"/>
  <c r="AF39" i="6"/>
  <c r="AH51" i="6"/>
  <c r="H24" i="6"/>
  <c r="X36" i="6"/>
  <c r="AN46" i="6"/>
  <c r="J18" i="6"/>
  <c r="L26" i="6"/>
  <c r="P32" i="6"/>
  <c r="Z36" i="6"/>
  <c r="W39" i="6"/>
  <c r="AB41" i="6"/>
  <c r="E22" i="6"/>
  <c r="AV53" i="6"/>
  <c r="L56" i="6"/>
  <c r="E19" i="6"/>
  <c r="Q27" i="6"/>
  <c r="P33" i="6"/>
  <c r="AC37" i="6"/>
  <c r="X42" i="6"/>
  <c r="F19" i="6"/>
  <c r="AF37" i="6"/>
  <c r="AD42" i="6"/>
  <c r="AN48" i="6"/>
  <c r="R33" i="6"/>
  <c r="AN44" i="6"/>
  <c r="AV54" i="6"/>
  <c r="AB37" i="6"/>
  <c r="H22" i="6"/>
  <c r="K23" i="6"/>
  <c r="T28" i="6"/>
  <c r="R31" i="6"/>
  <c r="AD35" i="6"/>
  <c r="AC38" i="6"/>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K86" i="5"/>
  <c r="C47" i="15"/>
  <c r="C54" i="15"/>
  <c r="C40" i="15"/>
  <c r="B73" i="5"/>
  <c r="B25" i="15" s="1"/>
  <c r="C25" i="15"/>
  <c r="B102" i="5"/>
  <c r="B52" i="15" s="1"/>
  <c r="C52" i="15"/>
  <c r="K102" i="5"/>
  <c r="C60" i="6"/>
  <c r="C57" i="6"/>
  <c r="C54" i="6"/>
  <c r="C55" i="6"/>
  <c r="C59" i="6"/>
  <c r="C56" i="6"/>
  <c r="C53" i="6"/>
  <c r="R46" i="7"/>
  <c r="W46" i="7"/>
  <c r="U46" i="7"/>
  <c r="T46" i="7"/>
  <c r="S46" i="7"/>
  <c r="K99" i="5"/>
  <c r="S32" i="6"/>
  <c r="S26" i="6"/>
  <c r="S33" i="6"/>
  <c r="S27" i="6"/>
  <c r="S29" i="6"/>
  <c r="S28" i="6"/>
  <c r="S31" i="6"/>
  <c r="U39" i="7"/>
  <c r="T39" i="7"/>
  <c r="S39" i="7"/>
  <c r="R39" i="7"/>
  <c r="W39" i="7"/>
  <c r="E123" i="7"/>
  <c r="L123" i="7"/>
  <c r="M123" i="7" s="1"/>
  <c r="G123" i="7"/>
  <c r="D123" i="7"/>
  <c r="G124" i="7"/>
  <c r="N123" i="7"/>
  <c r="V135" i="7"/>
  <c r="R61" i="5" s="1"/>
  <c r="V140" i="7"/>
  <c r="R60" i="5" s="1"/>
  <c r="H15" i="5"/>
  <c r="AG37" i="5"/>
  <c r="B75" i="5"/>
  <c r="B27" i="15" s="1"/>
  <c r="C27" i="15"/>
  <c r="D21" i="6"/>
  <c r="D24" i="6"/>
  <c r="D22" i="6"/>
  <c r="D20" i="6"/>
  <c r="D17" i="6"/>
  <c r="D18" i="6"/>
  <c r="D23" i="6"/>
  <c r="D19" i="6"/>
  <c r="C58" i="6"/>
  <c r="AC56" i="5"/>
  <c r="AK56" i="5" s="1"/>
  <c r="AM54" i="5"/>
  <c r="C17" i="15"/>
  <c r="R44" i="7"/>
  <c r="U44" i="7"/>
  <c r="T44" i="7"/>
  <c r="S44" i="7"/>
  <c r="W44" i="7"/>
  <c r="K87" i="5"/>
  <c r="B84" i="5"/>
  <c r="B34" i="15" s="1"/>
  <c r="C34" i="15"/>
  <c r="K84" i="5"/>
  <c r="H61" i="5"/>
  <c r="K85" i="5"/>
  <c r="B87" i="5"/>
  <c r="B37" i="15" s="1"/>
  <c r="G20" i="6"/>
  <c r="K17" i="6"/>
  <c r="G24" i="6"/>
  <c r="L33" i="6"/>
  <c r="L27" i="6"/>
  <c r="L28" i="6"/>
  <c r="L30" i="6"/>
  <c r="R27" i="6"/>
  <c r="P29" i="6"/>
  <c r="AD37" i="6"/>
  <c r="AD40" i="6"/>
  <c r="AD41" i="6"/>
  <c r="AD36" i="6"/>
  <c r="AC39" i="6"/>
  <c r="AH50" i="6"/>
  <c r="AL44" i="6"/>
  <c r="AL46" i="6"/>
  <c r="AL48" i="6"/>
  <c r="AR59" i="6"/>
  <c r="U47" i="7"/>
  <c r="T47" i="7"/>
  <c r="S47" i="7"/>
  <c r="W47" i="7"/>
  <c r="R47" i="7"/>
  <c r="V20" i="7" s="1"/>
  <c r="V21" i="7" s="1"/>
  <c r="K13" i="9"/>
  <c r="S13" i="9" s="1"/>
  <c r="AB35" i="6"/>
  <c r="H23" i="6"/>
  <c r="L59" i="6"/>
  <c r="AR58" i="6"/>
  <c r="AN49" i="6"/>
  <c r="AN45" i="6"/>
  <c r="AB39" i="6"/>
  <c r="Q31" i="6"/>
  <c r="L60" i="6"/>
  <c r="L57" i="6"/>
  <c r="AR56" i="6"/>
  <c r="L54" i="6"/>
  <c r="AR53" i="6"/>
  <c r="AB40" i="6"/>
  <c r="Q32" i="6"/>
  <c r="Q26" i="6"/>
  <c r="U13" i="9"/>
  <c r="Q28" i="6"/>
  <c r="E30" i="5"/>
  <c r="A15" i="15"/>
  <c r="K101" i="5"/>
  <c r="AE38" i="6"/>
  <c r="AE41" i="6"/>
  <c r="AE37" i="6"/>
  <c r="AI48" i="6"/>
  <c r="AI44" i="6"/>
  <c r="AI50" i="6"/>
  <c r="AI46" i="6"/>
  <c r="AS59" i="6"/>
  <c r="AS56" i="6"/>
  <c r="AS53" i="6"/>
  <c r="AS60" i="6"/>
  <c r="AS57" i="6"/>
  <c r="AS54" i="6"/>
  <c r="V25" i="9"/>
  <c r="V21" i="9"/>
  <c r="V23" i="9"/>
  <c r="V24" i="9"/>
  <c r="V22" i="9"/>
  <c r="V26" i="9"/>
  <c r="U43" i="7"/>
  <c r="T43" i="7"/>
  <c r="S43" i="7"/>
  <c r="R43" i="7"/>
  <c r="H45" i="7"/>
  <c r="G128" i="7"/>
  <c r="E128" i="7"/>
  <c r="L128" i="7"/>
  <c r="M128" i="7" s="1"/>
  <c r="D128" i="7"/>
  <c r="I138" i="7"/>
  <c r="J138" i="7"/>
  <c r="K138" i="7" s="1"/>
  <c r="L138" i="7" s="1"/>
  <c r="AI35" i="5"/>
  <c r="C50" i="15"/>
  <c r="AE39" i="6"/>
  <c r="AJ49" i="6"/>
  <c r="AJ45" i="6"/>
  <c r="AO44" i="6"/>
  <c r="AT59" i="6"/>
  <c r="AT56" i="6"/>
  <c r="AT53" i="6"/>
  <c r="AT54" i="6"/>
  <c r="W36" i="7"/>
  <c r="S36" i="7"/>
  <c r="R36" i="7"/>
  <c r="U36" i="7"/>
  <c r="T36" i="7"/>
  <c r="K23" i="9"/>
  <c r="S23" i="9" s="1"/>
  <c r="U23" i="9"/>
  <c r="AF29" i="5"/>
  <c r="AK54" i="5"/>
  <c r="C36" i="15"/>
  <c r="B97" i="5"/>
  <c r="B47" i="15" s="1"/>
  <c r="J20" i="6"/>
  <c r="J21" i="6"/>
  <c r="J23" i="6"/>
  <c r="J19" i="6"/>
  <c r="F21" i="6"/>
  <c r="M33" i="6"/>
  <c r="M27" i="6"/>
  <c r="M30" i="6"/>
  <c r="M26" i="6"/>
  <c r="M28" i="6"/>
  <c r="T31" i="6"/>
  <c r="AC41" i="6"/>
  <c r="N128" i="7"/>
  <c r="K88" i="5"/>
  <c r="C53" i="15"/>
  <c r="K104" i="5"/>
  <c r="K24" i="6"/>
  <c r="K21" i="6"/>
  <c r="K19" i="6"/>
  <c r="E23" i="6"/>
  <c r="N30" i="6"/>
  <c r="N31" i="6"/>
  <c r="N33" i="6"/>
  <c r="N27" i="6"/>
  <c r="N26" i="6"/>
  <c r="N28" i="6"/>
  <c r="AL51" i="6"/>
  <c r="AL47" i="6"/>
  <c r="AL49" i="6"/>
  <c r="AL45" i="6"/>
  <c r="AV58" i="6"/>
  <c r="AV55" i="6"/>
  <c r="V36" i="7"/>
  <c r="AG35" i="5"/>
  <c r="AB56" i="5"/>
  <c r="AJ56" i="5" s="1"/>
  <c r="Q102" i="5"/>
  <c r="Q97" i="5"/>
  <c r="Q101" i="5"/>
  <c r="Q84" i="5"/>
  <c r="Q88" i="5"/>
  <c r="K90" i="5"/>
  <c r="K98" i="5"/>
  <c r="Q104" i="5"/>
  <c r="L21" i="6"/>
  <c r="L22" i="6"/>
  <c r="L24" i="6"/>
  <c r="L19" i="6"/>
  <c r="H21" i="6"/>
  <c r="F23" i="6"/>
  <c r="P26" i="6"/>
  <c r="R28" i="6"/>
  <c r="W41" i="6"/>
  <c r="W36" i="6"/>
  <c r="W37" i="6"/>
  <c r="W38" i="6"/>
  <c r="W35" i="6"/>
  <c r="AB36" i="6"/>
  <c r="AH45" i="6"/>
  <c r="AI47" i="6"/>
  <c r="AH49" i="6"/>
  <c r="AI51" i="6"/>
  <c r="AT57" i="6"/>
  <c r="G129" i="7"/>
  <c r="J136" i="7"/>
  <c r="K136" i="7" s="1"/>
  <c r="L136" i="7" s="1"/>
  <c r="I136" i="7"/>
  <c r="E144" i="7"/>
  <c r="B6" i="5"/>
  <c r="A13" i="15"/>
  <c r="F18" i="6"/>
  <c r="P28" i="6"/>
  <c r="P30" i="6"/>
  <c r="X37" i="6"/>
  <c r="X38" i="6"/>
  <c r="X39" i="6"/>
  <c r="X41" i="6"/>
  <c r="X35" i="6"/>
  <c r="AE36" i="6"/>
  <c r="AB38" i="6"/>
  <c r="AN51" i="6"/>
  <c r="AI45" i="6"/>
  <c r="AJ47" i="6"/>
  <c r="AI49" i="6"/>
  <c r="AJ51" i="6"/>
  <c r="L58" i="6"/>
  <c r="AV57" i="6"/>
  <c r="AT60" i="6"/>
  <c r="T42" i="5"/>
  <c r="N63" i="5"/>
  <c r="O63" i="5" s="1"/>
  <c r="B99" i="5"/>
  <c r="B49" i="15" s="1"/>
  <c r="C49" i="15"/>
  <c r="Y42" i="6"/>
  <c r="Y41" i="6"/>
  <c r="Y40" i="6"/>
  <c r="Y39" i="6"/>
  <c r="Y38" i="6"/>
  <c r="Y35" i="6"/>
  <c r="AO50" i="6"/>
  <c r="AO46" i="6"/>
  <c r="AO45" i="6"/>
  <c r="AO47" i="6"/>
  <c r="AO49" i="6"/>
  <c r="AO51" i="6"/>
  <c r="G144" i="7"/>
  <c r="H134" i="7"/>
  <c r="K100" i="5"/>
  <c r="K83" i="5"/>
  <c r="AH39" i="5"/>
  <c r="B66" i="5"/>
  <c r="H70" i="5"/>
  <c r="I70" i="5" s="1"/>
  <c r="H97" i="5"/>
  <c r="K18" i="6"/>
  <c r="N32" i="6"/>
  <c r="Z42" i="6"/>
  <c r="Z39" i="6"/>
  <c r="Z35" i="6"/>
  <c r="Z40" i="6"/>
  <c r="L48" i="6"/>
  <c r="L44" i="6"/>
  <c r="L50" i="6"/>
  <c r="L46" i="6"/>
  <c r="L45" i="6"/>
  <c r="L47" i="6"/>
  <c r="L49" i="6"/>
  <c r="L51" i="6"/>
  <c r="AS55" i="6"/>
  <c r="T41" i="7"/>
  <c r="U41" i="7"/>
  <c r="S41" i="7"/>
  <c r="R41" i="7"/>
  <c r="K134" i="7"/>
  <c r="J140" i="7"/>
  <c r="K140" i="7" s="1"/>
  <c r="L140" i="7" s="1"/>
  <c r="I140" i="7"/>
  <c r="E24" i="6"/>
  <c r="E21" i="6"/>
  <c r="F17" i="6"/>
  <c r="F20" i="6"/>
  <c r="T30" i="6"/>
  <c r="T33" i="6"/>
  <c r="T27" i="6"/>
  <c r="M29" i="6"/>
  <c r="T32" i="6"/>
  <c r="AE35" i="6"/>
  <c r="Y37" i="6"/>
  <c r="AE42" i="6"/>
  <c r="AS58" i="6"/>
  <c r="AJ38" i="5"/>
  <c r="AE56" i="5"/>
  <c r="AM56" i="5" s="1"/>
  <c r="H78" i="5"/>
  <c r="H98" i="5" s="1"/>
  <c r="J17" i="6"/>
  <c r="K20" i="6"/>
  <c r="J22" i="6"/>
  <c r="F24" i="6"/>
  <c r="N29" i="6"/>
  <c r="AC36" i="6"/>
  <c r="AC40" i="6"/>
  <c r="AC35" i="6"/>
  <c r="Z37" i="6"/>
  <c r="AJ44" i="6"/>
  <c r="AJ46" i="6"/>
  <c r="AJ48" i="6"/>
  <c r="AJ50" i="6"/>
  <c r="AT58" i="6"/>
  <c r="T37" i="7"/>
  <c r="U37" i="7"/>
  <c r="S37" i="7"/>
  <c r="R37" i="7"/>
  <c r="W40" i="7"/>
  <c r="S40" i="7"/>
  <c r="R40" i="7"/>
  <c r="U40" i="7"/>
  <c r="T40" i="7"/>
  <c r="C24" i="6"/>
  <c r="C23" i="6"/>
  <c r="C22" i="6"/>
  <c r="C21" i="6"/>
  <c r="C17" i="6"/>
  <c r="C18" i="6"/>
  <c r="C19" i="6"/>
  <c r="C20" i="6"/>
  <c r="G22" i="6"/>
  <c r="AF38" i="6"/>
  <c r="AN47" i="6"/>
  <c r="AR54" i="6"/>
  <c r="L55" i="6"/>
  <c r="AR57" i="6"/>
  <c r="AR60" i="6"/>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0" i="9"/>
  <c r="K40" i="9"/>
  <c r="S40" i="9" s="1"/>
  <c r="G17" i="6"/>
  <c r="G18" i="6"/>
  <c r="G19" i="6"/>
  <c r="AF42" i="6"/>
  <c r="D60" i="6"/>
  <c r="T38" i="7"/>
  <c r="T42" i="7"/>
  <c r="U45" i="7"/>
  <c r="S45" i="7"/>
  <c r="H17" i="6"/>
  <c r="H18" i="6"/>
  <c r="H19" i="6"/>
  <c r="R26" i="6"/>
  <c r="P31" i="6"/>
  <c r="R32" i="6"/>
  <c r="AG51" i="6"/>
  <c r="AH44" i="6"/>
  <c r="AH48" i="6"/>
  <c r="AQ60" i="6"/>
  <c r="V41" i="7"/>
  <c r="V37" i="7"/>
  <c r="V48" i="7"/>
  <c r="V44" i="7"/>
  <c r="V43" i="7"/>
  <c r="V39" i="7"/>
  <c r="V46" i="7"/>
  <c r="U38" i="7"/>
  <c r="U42" i="7"/>
  <c r="R45" i="7"/>
  <c r="V47" i="7"/>
  <c r="J119" i="7"/>
  <c r="N122" i="7"/>
  <c r="N130" i="7" s="1"/>
  <c r="L129" i="7"/>
  <c r="M129" i="7" s="1"/>
  <c r="J139" i="7"/>
  <c r="K139" i="7" s="1"/>
  <c r="L139" i="7" s="1"/>
  <c r="I141" i="7"/>
  <c r="U14" i="9"/>
  <c r="U19" i="9"/>
  <c r="U54" i="9"/>
  <c r="K54" i="9"/>
  <c r="S54" i="9" s="1"/>
  <c r="AQ84" i="10"/>
  <c r="AT84" i="10" s="1"/>
  <c r="E17" i="10" a="1"/>
  <c r="I24" i="6"/>
  <c r="I23" i="6"/>
  <c r="I22" i="6"/>
  <c r="I21" i="6"/>
  <c r="I20" i="6"/>
  <c r="I17" i="6"/>
  <c r="I18" i="6"/>
  <c r="I19" i="6"/>
  <c r="V38" i="7"/>
  <c r="V42" i="7"/>
  <c r="T45" i="7"/>
  <c r="G126" i="7"/>
  <c r="I134" i="7"/>
  <c r="K15" i="9"/>
  <c r="S15" i="9" s="1"/>
  <c r="U15" i="9"/>
  <c r="U31" i="9"/>
  <c r="K41" i="9"/>
  <c r="S41" i="9" s="1"/>
  <c r="U41" i="9"/>
  <c r="K27" i="9"/>
  <c r="S27" i="9" s="1"/>
  <c r="U27" i="9"/>
  <c r="K32" i="9"/>
  <c r="S32" i="9" s="1"/>
  <c r="U32" i="9"/>
  <c r="H48" i="7"/>
  <c r="D120" i="7"/>
  <c r="H136" i="7"/>
  <c r="U44" i="9"/>
  <c r="K44" i="9"/>
  <c r="S44" i="9" s="1"/>
  <c r="E125" i="7"/>
  <c r="D125" i="7"/>
  <c r="U42" i="9"/>
  <c r="K42" i="9"/>
  <c r="S42" i="9" s="1"/>
  <c r="AA42" i="6"/>
  <c r="AM51" i="6"/>
  <c r="AH46" i="6"/>
  <c r="K60" i="6"/>
  <c r="G125" i="7"/>
  <c r="U39" i="9"/>
  <c r="K39" i="9"/>
  <c r="S39" i="9" s="1"/>
  <c r="AL91" i="10"/>
  <c r="AR89" i="10"/>
  <c r="AU89" i="10" s="1"/>
  <c r="D53" i="6"/>
  <c r="D54" i="6"/>
  <c r="D55" i="6"/>
  <c r="D56" i="6"/>
  <c r="D57" i="6"/>
  <c r="D58" i="6"/>
  <c r="D59" i="6"/>
  <c r="M7" i="10" a="1"/>
  <c r="U26" i="6"/>
  <c r="U27" i="6"/>
  <c r="U28" i="6"/>
  <c r="U29" i="6"/>
  <c r="U30" i="6"/>
  <c r="U31" i="6"/>
  <c r="U32" i="6"/>
  <c r="AG44" i="6"/>
  <c r="AG45" i="6"/>
  <c r="AG46" i="6"/>
  <c r="AG47" i="6"/>
  <c r="AG48" i="6"/>
  <c r="AG49" i="6"/>
  <c r="AG50" i="6"/>
  <c r="AQ53" i="6"/>
  <c r="AQ54" i="6"/>
  <c r="AQ55" i="6"/>
  <c r="AQ56" i="6"/>
  <c r="AQ57" i="6"/>
  <c r="AQ58" i="6"/>
  <c r="AQ59" i="6"/>
  <c r="K16" i="9"/>
  <c r="S16" i="9" s="1"/>
  <c r="K28" i="9"/>
  <c r="S28" i="9" s="1"/>
  <c r="M17" i="10" a="1"/>
  <c r="N120" i="10"/>
  <c r="M120" i="10"/>
  <c r="N119" i="10"/>
  <c r="M119" i="10"/>
  <c r="N118" i="10"/>
  <c r="M118" i="10"/>
  <c r="AL79" i="10"/>
  <c r="E12" i="10" a="1"/>
  <c r="E7" i="10" a="1"/>
  <c r="I12" i="10" a="1"/>
  <c r="I7" i="10" a="1"/>
  <c r="M12" i="10" a="1"/>
  <c r="AK44" i="6"/>
  <c r="AK45" i="6"/>
  <c r="AK46" i="6"/>
  <c r="AK47" i="6"/>
  <c r="AK48" i="6"/>
  <c r="AK49" i="6"/>
  <c r="AK50" i="6"/>
  <c r="AU53" i="6"/>
  <c r="AU54" i="6"/>
  <c r="AU55" i="6"/>
  <c r="AU56" i="6"/>
  <c r="AU57" i="6"/>
  <c r="AU58" i="6"/>
  <c r="AU59" i="6"/>
  <c r="AR77" i="10"/>
  <c r="AU77" i="10" s="1"/>
  <c r="I17" i="10" a="1"/>
  <c r="O26" i="6"/>
  <c r="O27" i="6"/>
  <c r="O28" i="6"/>
  <c r="O29" i="6"/>
  <c r="O30" i="6"/>
  <c r="O31" i="6"/>
  <c r="O32" i="6"/>
  <c r="AA35" i="6"/>
  <c r="AA36" i="6"/>
  <c r="AA37" i="6"/>
  <c r="AA38" i="6"/>
  <c r="AA39" i="6"/>
  <c r="AA40" i="6"/>
  <c r="AA41" i="6"/>
  <c r="AM44" i="6"/>
  <c r="AM45" i="6"/>
  <c r="AM46" i="6"/>
  <c r="AM47" i="6"/>
  <c r="AM48" i="6"/>
  <c r="AM49" i="6"/>
  <c r="AM50" i="6"/>
  <c r="K53" i="6"/>
  <c r="K54" i="6"/>
  <c r="K55" i="6"/>
  <c r="K56" i="6"/>
  <c r="K57" i="6"/>
  <c r="K58" i="6"/>
  <c r="K59" i="6"/>
  <c r="K49" i="9"/>
  <c r="S49"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I16" i="5" l="1"/>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5" i="9"/>
  <c r="Y21" i="9"/>
  <c r="Y23" i="9"/>
  <c r="Y24" i="9"/>
  <c r="Y22" i="9"/>
  <c r="Y26"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tc={6A82080C-3A46-4F98-A8BB-1FF2F957BEF2}</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K89" authorId="9"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95" authorId="10"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<sst xmlns="http://schemas.openxmlformats.org/spreadsheetml/2006/main" count="2947" uniqueCount="1236">
  <si>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</si>
  <si>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</si>
  <si>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</si>
  <si>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</si>
  <si>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</si>
  <si>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</si>
  <si>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</si>
  <si>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</si>
  <si>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</si>
  <si>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</si>
  <si>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</si>
  <si>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</si>
  <si>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</si>
  <si>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</si>
  <si>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</si>
  <si>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</si>
  <si>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</si>
  <si>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</si>
  <si>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</si>
  <si>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</si>
  <si>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</si>
  <si>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</si>
  <si>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</si>
  <si>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</si>
  <si>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</si>
  <si>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</si>
  <si>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</si>
  <si>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</si>
  <si>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</si>
  <si>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</si>
  <si>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</si>
  <si>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</si>
  <si>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</si>
  <si>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</si>
  <si>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</si>
  <si>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</si>
  <si>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</si>
  <si>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</si>
  <si>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</si>
  <si>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</si>
  <si>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</si>
  <si>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</si>
  <si>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</si>
  <si>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</si>
  <si>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</si>
  <si>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</si>
  <si>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</si>
  <si>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</si>
  <si>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</si>
  <si>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</si>
  <si>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</si>
  <si>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</si>
  <si>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</si>
  <si>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</si>
  <si>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</si>
  <si>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</si>
  <si>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</si>
  <si>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</si>
  <si>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</si>
  <si>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</si>
  <si>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</si>
  <si>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</si>
  <si>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</si>
  <si>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</si>
  <si>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</si>
  <si>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</si>
  <si>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</si>
  <si>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</si>
  <si>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</si>
  <si>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</si>
  <si>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</si>
  <si>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</si>
  <si>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</si>
  <si>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</si>
  <si>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</si>
  <si>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</si>
  <si>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</si>
  <si>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</si>
  <si>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</si>
  <si>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</si>
  <si>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</si>
  <si>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</si>
  <si>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</si>
  <si>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</si>
  <si>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</si>
  <si>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</si>
  <si>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</si>
  <si>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</si>
  <si>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</si>
  <si>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</si>
  <si>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</si>
  <si>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</si>
  <si>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</si>
  <si>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</si>
  <si>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</si>
  <si>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</si>
  <si>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</si>
  <si>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</si>
  <si>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</si>
  <si>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</si>
  <si>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</si>
  <si>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</si>
  <si>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</si>
  <si>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</si>
  <si>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</si>
  <si>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</si>
  <si>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</si>
  <si>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</si>
  <si>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</si>
  <si>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</si>
  <si>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</si>
  <si>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</si>
  <si>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</si>
  <si>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</si>
  <si>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</si>
  <si>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</si>
  <si>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</si>
  <si>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</si>
  <si>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</si>
  <si>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</si>
  <si>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</si>
  <si>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</si>
  <si>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</si>
  <si>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</si>
  <si>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</si>
  <si>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</si>
  <si>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</si>
  <si>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</si>
  <si>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</si>
  <si>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</si>
  <si>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</si>
  <si>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</si>
  <si>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</si>
  <si>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Source GHG: IPPC National GHG Guideline 2006 - kTon/PJ = ton/TJ</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</si>
  <si>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</si>
  <si>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</si>
  <si>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</si>
  <si>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</si>
  <si>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</si>
  <si>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</si>
  <si>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</si>
  <si>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</si>
  <si>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</si>
  <si>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</si>
  <si>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</si>
  <si>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</si>
  <si>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</si>
  <si>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</si>
  <si>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</si>
  <si>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</si>
  <si>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</si>
  <si>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</si>
  <si>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</si>
  <si>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</si>
  <si>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</si>
  <si>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</si>
  <si>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</si>
  <si>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</si>
  <si>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</si>
  <si>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</si>
  <si>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</si>
  <si>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</si>
  <si>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</si>
  <si>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</si>
  <si>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</si>
  <si>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</si>
  <si>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</si>
  <si>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</si>
  <si>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</si>
  <si>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</si>
  <si>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</si>
  <si>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</si>
  <si>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</si>
  <si>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</si>
  <si>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</si>
  <si>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</si>
  <si>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</si>
  <si>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</si>
  <si>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</si>
  <si>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</si>
  <si>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</si>
  <si>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</si>
  <si>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</si>
  <si>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</si>
  <si>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</si>
  <si>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</si>
  <si>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</si>
  <si>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</si>
  <si>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</si>
  <si>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</si>
  <si>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</si>
  <si>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</si>
  <si>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</si>
  <si>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</si>
  <si>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</si>
  <si>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</si>
  <si>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</si>
  <si>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</si>
  <si>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</si>
  <si>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</si>
  <si>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</si>
  <si>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</si>
  <si>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</si>
  <si>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</si>
  <si>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</si>
  <si>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</si>
  <si>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</si>
  <si>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</si>
  <si>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</si>
  <si>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</si>
  <si>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</si>
  <si>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</si>
  <si>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</si>
  <si>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</si>
  <si>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</si>
  <si>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</si>
  <si>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</si>
  <si>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</si>
  <si>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</si>
  <si>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</si>
  <si>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</si>
  <si>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</si>
  <si>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</si>
  <si>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</si>
  <si>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</si>
  <si>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</si>
  <si>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</si>
  <si>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</si>
  <si>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</si>
  <si>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</si>
  <si>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</si>
  <si>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</si>
  <si>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</si>
  <si>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</si>
  <si>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</si>
  <si>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</si>
  <si>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</si>
  <si>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</si>
  <si>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</si>
  <si>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</si>
  <si>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</si>
  <si>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</si>
  <si>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</si>
  <si>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</si>
  <si>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</si>
  <si>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</si>
  <si>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</si>
  <si>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</si>
  <si>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</si>
  <si>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</si>
  <si>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</si>
  <si>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</si>
  <si>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</si>
  <si>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</si>
  <si>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</si>
  <si>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</si>
  <si>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</si>
  <si>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</si>
  <si>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</si>
  <si>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</si>
  <si>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</si>
  <si>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</si>
  <si>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</si>
  <si>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</si>
  <si>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</si>
  <si>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</si>
  <si>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</si>
  <si>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</si>
  <si>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</si>
  <si>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</si>
  <si>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</si>
  <si>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</si>
  <si>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</si>
  <si>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</si>
  <si>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</si>
  <si>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</si>
  <si>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</si>
  <si>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</si>
  <si>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</si>
  <si>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</si>
  <si>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</si>
  <si>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</si>
  <si>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</si>
  <si>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</si>
  <si>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</si>
  <si>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</si>
  <si>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</si>
  <si>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</si>
  <si>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</si>
  <si>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</si>
  <si>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</si>
  <si>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</si>
  <si>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</si>
  <si>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</si>
  <si>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</si>
  <si>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</si>
  <si>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</si>
  <si>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</si>
  <si>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</si>
  <si>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</si>
  <si>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</si>
  <si>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</si>
  <si>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</si>
  <si>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</si>
  <si>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</si>
  <si>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</si>
  <si>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</si>
  <si>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</si>
  <si>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</si>
  <si>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</si>
  <si>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</si>
  <si>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</si>
  <si>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</si>
  <si>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</si>
  <si>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</si>
  <si>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</si>
  <si>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</si>
  <si>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</si>
  <si>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</si>
  <si>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</si>
  <si>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</si>
  <si>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</si>
  <si>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</si>
  <si>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</si>
  <si>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</si>
  <si>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</si>
  <si>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</si>
  <si>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</si>
  <si>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</si>
  <si>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</si>
  <si>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</si>
  <si>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</si>
  <si>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</si>
  <si>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</si>
  <si>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</si>
  <si>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</si>
  <si>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</si>
  <si>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</si>
  <si>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</si>
  <si>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</si>
  <si>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</si>
  <si>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</si>
  <si>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</si>
  <si>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</si>
  <si>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</si>
  <si>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</si>
  <si>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</si>
  <si>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</si>
  <si>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</si>
  <si>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</si>
  <si>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</si>
  <si>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</si>
  <si>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</si>
  <si>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</si>
  <si>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</si>
  <si>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</si>
  <si>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</si>
  <si>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</si>
  <si>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Combustion Emission Factors</t>
  </si>
  <si>
    <t>* Note: ELC and PWR X-techs are declared and defined in ELE workbook</t>
  </si>
  <si>
    <t>Carbon dioxide</t>
  </si>
  <si>
    <t>Methane</t>
  </si>
  <si>
    <t>Nitrous Oxide</t>
  </si>
  <si>
    <t>Sulphur gases</t>
  </si>
  <si>
    <t>Nitrogen gases</t>
  </si>
  <si>
    <t>Carbon monoxide</t>
  </si>
  <si>
    <t>NMVOCs</t>
  </si>
  <si>
    <t>PM10</t>
  </si>
  <si>
    <t>~COMEMI</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</si>
  <si>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</si>
  <si>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</si>
  <si>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</si>
  <si>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</si>
  <si>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</si>
  <si>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</si>
  <si>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</si>
  <si>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</si>
  <si>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</si>
  <si>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</si>
  <si>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</si>
  <si>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</si>
  <si>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</si>
  <si>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</si>
  <si>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</si>
  <si>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</si>
  <si>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</si>
  <si>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</si>
  <si>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</si>
  <si>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</si>
  <si>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</si>
  <si>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</si>
  <si>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</si>
  <si>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</si>
  <si>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</si>
  <si>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</si>
  <si>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</si>
  <si>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</si>
  <si>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</si>
  <si>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</si>
  <si>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</si>
  <si>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</si>
  <si>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</si>
  <si>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</si>
  <si>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</si>
  <si>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</si>
  <si>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</si>
  <si>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</si>
  <si>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</si>
  <si>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</si>
  <si>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</si>
  <si>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</si>
  <si>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</si>
  <si>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</si>
  <si>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</si>
  <si>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</si>
  <si>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</si>
  <si>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</si>
  <si>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</si>
  <si>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</si>
  <si>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</si>
  <si>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</si>
  <si>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</si>
  <si>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</si>
  <si>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</si>
  <si>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</si>
  <si>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</si>
  <si>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</si>
  <si>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</si>
  <si>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</si>
  <si>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</si>
  <si>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</si>
  <si>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</si>
  <si>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</si>
  <si>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</si>
  <si>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</si>
  <si>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</si>
  <si>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</si>
  <si>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</si>
  <si>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</si>
  <si>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</si>
  <si>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</si>
  <si>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</si>
  <si>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</si>
  <si>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</si>
  <si>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</si>
  <si>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</si>
  <si>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</si>
  <si>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</si>
  <si>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</si>
  <si>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</si>
  <si>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</si>
  <si>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</si>
  <si>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</si>
  <si>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</si>
  <si>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</si>
  <si>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</si>
  <si>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</si>
  <si>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</si>
  <si>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</si>
  <si>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</si>
  <si>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</si>
  <si>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</si>
  <si>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</si>
  <si>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</si>
  <si>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</si>
  <si>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</si>
  <si>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</si>
  <si>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</si>
  <si>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</si>
  <si>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</si>
  <si>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</si>
  <si>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</si>
  <si>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</si>
  <si>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</si>
  <si>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</si>
  <si>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</si>
  <si>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</si>
  <si>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</si>
  <si>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</si>
  <si>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</si>
  <si>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</si>
  <si>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</si>
  <si>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</si>
  <si>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</si>
  <si>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</si>
  <si>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</si>
  <si>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</si>
  <si>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</si>
  <si>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</si>
  <si>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</si>
  <si>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</si>
  <si>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</si>
  <si>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</si>
  <si>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</si>
  <si>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</si>
  <si>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</si>
  <si>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</si>
  <si>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</si>
  <si>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</si>
  <si>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</si>
  <si>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</si>
  <si>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</si>
  <si>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</si>
  <si>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</si>
  <si>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</si>
  <si>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</si>
  <si>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</si>
  <si>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</si>
  <si>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</si>
  <si>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</si>
  <si>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</si>
  <si>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</si>
  <si>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</si>
  <si>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</si>
  <si>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</si>
  <si>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</si>
  <si>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</si>
  <si>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</si>
  <si>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</si>
  <si>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</si>
  <si>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</si>
  <si>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</si>
  <si>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</si>
  <si>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</si>
  <si>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</si>
  <si>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</si>
  <si>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</si>
  <si>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</si>
  <si>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</si>
  <si>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</si>
  <si>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</si>
  <si>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</si>
  <si>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</si>
  <si>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</si>
  <si>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</si>
  <si>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</si>
  <si>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</si>
  <si>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</si>
  <si>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</si>
  <si>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</si>
  <si>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</si>
  <si>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</si>
  <si>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</si>
  <si>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</si>
  <si>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</si>
  <si>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</si>
  <si>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</si>
  <si>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</si>
  <si>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</si>
  <si>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</si>
  <si>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</si>
  <si>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</si>
  <si>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</si>
  <si>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</si>
  <si>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</si>
  <si>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</si>
  <si>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</si>
  <si>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</si>
  <si>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</si>
  <si>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</si>
  <si>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</si>
  <si>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</si>
  <si>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</si>
  <si>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</si>
  <si>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</si>
  <si>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</si>
  <si>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</si>
  <si>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</si>
  <si>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</si>
  <si>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</si>
  <si>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</si>
  <si>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</si>
  <si>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</si>
  <si>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</si>
  <si>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</si>
  <si>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</si>
  <si>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</si>
  <si>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</si>
  <si>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</si>
  <si>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</si>
  <si>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</si>
  <si>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</si>
  <si>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</si>
  <si>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</si>
  <si>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</si>
  <si>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</si>
  <si>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</si>
  <si>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</si>
  <si>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</si>
  <si>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</si>
  <si>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</si>
  <si>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</si>
  <si>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</si>
  <si>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</si>
  <si>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AGRCO2S</t>
  </si>
  <si>
    <t>COMCO2S</t>
  </si>
  <si>
    <t>INDCO2S</t>
  </si>
  <si>
    <t>PWRCO2S</t>
  </si>
  <si>
    <t>RESCO2S</t>
  </si>
  <si>
    <t>TRACO2S</t>
  </si>
  <si>
    <t>UPSCO2S</t>
  </si>
  <si>
    <t>CO2SF</t>
  </si>
  <si>
    <t>CO2SP</t>
  </si>
  <si>
    <t>CO2SPIFC</t>
  </si>
  <si>
    <t>CO2SPIFM</t>
  </si>
  <si>
    <t>CO2SPCEM</t>
  </si>
  <si>
    <t>AGRCH4S</t>
  </si>
  <si>
    <t>COMCH4S</t>
  </si>
  <si>
    <t>INDCH4S</t>
  </si>
  <si>
    <t>PWRCH4S</t>
  </si>
  <si>
    <t>RESCH4S</t>
  </si>
  <si>
    <t>TRACH4S</t>
  </si>
  <si>
    <t>UPSCH4S</t>
  </si>
  <si>
    <t>CH4SF</t>
  </si>
  <si>
    <t>AGRN2OS</t>
  </si>
  <si>
    <t>COMN2OS</t>
  </si>
  <si>
    <t>INDN2OS</t>
  </si>
  <si>
    <t>PWRN2OS</t>
  </si>
  <si>
    <t>RESN2OS</t>
  </si>
  <si>
    <t>TRAN2OS</t>
  </si>
  <si>
    <t>UPSN2OS</t>
  </si>
  <si>
    <t>AGRSOXS</t>
  </si>
  <si>
    <t>COMSOXS</t>
  </si>
  <si>
    <t>INDSOXS</t>
  </si>
  <si>
    <t>PWRSOXS</t>
  </si>
  <si>
    <t>RESSOXS</t>
  </si>
  <si>
    <t>TRASOXS</t>
  </si>
  <si>
    <t>UPSSOXS</t>
  </si>
  <si>
    <t>AGRNOXS</t>
  </si>
  <si>
    <t>COMNOXS</t>
  </si>
  <si>
    <t>INDNOXS</t>
  </si>
  <si>
    <t>PWRNOXS</t>
  </si>
  <si>
    <t>RESNOXS</t>
  </si>
  <si>
    <t>TRANOXS</t>
  </si>
  <si>
    <t>UPSNOXS</t>
  </si>
  <si>
    <t>AGRCMOX</t>
  </si>
  <si>
    <t>COMCMOX</t>
  </si>
  <si>
    <t>INDCMOX</t>
  </si>
  <si>
    <t>PWRCMOX</t>
  </si>
  <si>
    <t>RESCMOX</t>
  </si>
  <si>
    <t>TRACMOX</t>
  </si>
  <si>
    <t>UPSCMOX</t>
  </si>
  <si>
    <t>AGRNMVS</t>
  </si>
  <si>
    <t>COMNMVS</t>
  </si>
  <si>
    <t>INDNMVS</t>
  </si>
  <si>
    <t>PWRNMVS</t>
  </si>
  <si>
    <t>RESNMVS</t>
  </si>
  <si>
    <t>TRANMVS</t>
  </si>
  <si>
    <t>UPSNMVS</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</si>
  <si>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</si>
  <si>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</si>
  <si>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</si>
  <si>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</si>
  <si>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</si>
  <si>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</si>
  <si>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</si>
  <si>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</si>
  <si>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</si>
  <si>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</si>
  <si>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</si>
  <si>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</si>
  <si>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</si>
  <si>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</si>
  <si>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</si>
  <si>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</si>
  <si>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</si>
  <si>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</si>
  <si>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</si>
  <si>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</si>
  <si>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</si>
  <si>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</si>
  <si>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</si>
  <si>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</si>
  <si>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</si>
  <si>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</si>
  <si>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</si>
  <si>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</si>
  <si>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</si>
  <si>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</si>
  <si>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</si>
  <si>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</si>
  <si>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</si>
  <si>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</si>
  <si>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</si>
  <si>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</si>
  <si>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</si>
  <si>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</si>
  <si>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</si>
  <si>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</si>
  <si>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</si>
  <si>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</si>
  <si>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</si>
  <si>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</si>
  <si>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</si>
  <si>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</si>
  <si>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</si>
  <si>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</si>
  <si>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</si>
  <si>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</si>
  <si>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</si>
  <si>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</si>
  <si>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</si>
  <si>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</si>
  <si>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</si>
  <si>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</si>
  <si>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</si>
  <si>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</si>
  <si>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</si>
  <si>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</si>
  <si>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</si>
  <si>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</si>
  <si>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</si>
  <si>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</si>
  <si>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</si>
  <si>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</si>
  <si>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</si>
  <si>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</si>
  <si>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</si>
  <si>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</si>
  <si>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</si>
  <si>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</si>
  <si>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</si>
  <si>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</si>
  <si>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</si>
  <si>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</si>
  <si>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</si>
  <si>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</si>
  <si>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</si>
  <si>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</si>
  <si>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</si>
  <si>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</si>
  <si>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</si>
  <si>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</si>
  <si>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</si>
  <si>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</si>
  <si>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</si>
  <si>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</si>
  <si>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</si>
  <si>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</si>
  <si>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</si>
  <si>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</si>
  <si>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</si>
  <si>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</si>
  <si>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</si>
  <si>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</si>
  <si>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</si>
  <si>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</si>
  <si>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</si>
  <si>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</si>
  <si>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</si>
  <si>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</si>
  <si>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</si>
  <si>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</si>
  <si>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</si>
  <si>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</si>
  <si>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</si>
  <si>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</si>
  <si>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</si>
  <si>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</si>
  <si>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</si>
  <si>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</si>
  <si>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</si>
  <si>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</si>
  <si>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</si>
  <si>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</si>
  <si>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</si>
  <si>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</si>
  <si>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</si>
  <si>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</si>
  <si>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</si>
  <si>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</si>
  <si>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</si>
  <si>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</si>
  <si>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</si>
  <si>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</si>
  <si>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</si>
  <si>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</si>
  <si>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</si>
  <si>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</si>
  <si>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</si>
  <si>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</si>
  <si>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</si>
  <si>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</si>
  <si>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</si>
  <si>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</si>
  <si>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</si>
  <si>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</si>
  <si>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</si>
  <si>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</si>
  <si>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</si>
  <si>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</si>
  <si>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</si>
  <si>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</si>
  <si>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</si>
  <si>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</si>
  <si>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</si>
  <si>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</si>
  <si>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</si>
  <si>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</si>
  <si>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</si>
  <si>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</si>
  <si>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</si>
  <si>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</si>
  <si>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</si>
  <si>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</si>
  <si>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</si>
  <si>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</si>
  <si>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</si>
  <si>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</si>
  <si>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</si>
  <si>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</si>
  <si>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</si>
  <si>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</si>
  <si>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</si>
  <si>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</si>
  <si>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</si>
  <si>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</si>
  <si>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</si>
  <si>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</si>
  <si>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</si>
  <si>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</si>
  <si>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</si>
  <si>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</si>
  <si>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</si>
  <si>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</si>
  <si>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</si>
  <si>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</si>
  <si>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</si>
  <si>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</si>
  <si>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</si>
  <si>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</si>
  <si>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</si>
  <si>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</si>
  <si>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</si>
  <si>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</si>
  <si>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</si>
  <si>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</si>
  <si>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</si>
  <si>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</si>
  <si>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</si>
  <si>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</si>
  <si>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</si>
  <si>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</si>
  <si>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</si>
  <si>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</si>
  <si>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</si>
  <si>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</si>
  <si>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</si>
  <si>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</si>
  <si>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</si>
  <si>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</si>
  <si>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</si>
  <si>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</si>
  <si>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</si>
  <si>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</si>
  <si>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</si>
  <si>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</si>
  <si>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</si>
  <si>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</si>
  <si>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</si>
  <si>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</si>
  <si>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</si>
  <si>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</si>
  <si>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</si>
  <si>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</si>
  <si>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</si>
  <si>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</si>
  <si>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</si>
  <si>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</si>
  <si>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</si>
  <si>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</si>
  <si>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</si>
  <si>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</si>
  <si>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</si>
  <si>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</si>
  <si>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</si>
  <si>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</si>
  <si>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</si>
  <si>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</si>
  <si>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</si>
  <si>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</si>
  <si>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</si>
  <si>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</si>
  <si>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</si>
  <si>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</si>
  <si>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</si>
  <si>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</si>
  <si>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</si>
  <si>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</si>
  <si>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</si>
  <si>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</si>
  <si>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</si>
  <si>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</si>
  <si>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</si>
  <si>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</si>
  <si>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</si>
  <si>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</si>
  <si>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</si>
  <si>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</si>
  <si>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</si>
  <si>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</si>
  <si>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</si>
  <si>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</si>
  <si>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</si>
  <si>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</si>
  <si>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</si>
  <si>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</si>
  <si>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</si>
  <si>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</si>
  <si>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</si>
  <si>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</si>
  <si>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</si>
  <si>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</si>
  <si>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</si>
  <si>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</si>
  <si>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</si>
  <si>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</si>
  <si>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</si>
  <si>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</si>
  <si>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</si>
  <si>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</si>
  <si>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</si>
  <si>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</si>
  <si>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</si>
  <si>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</si>
  <si>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</si>
  <si>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</si>
  <si>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</si>
  <si>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</si>
  <si>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</si>
  <si>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</si>
  <si>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</si>
  <si>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</si>
  <si>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</si>
  <si>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</si>
  <si>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</si>
  <si>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</si>
  <si>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</si>
  <si>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</si>
  <si>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</si>
  <si>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</si>
  <si>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</si>
  <si>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</si>
  <si>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</si>
  <si>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</si>
  <si>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</si>
  <si>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</si>
  <si>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</si>
  <si>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</si>
  <si>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</si>
  <si>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</si>
  <si>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</si>
  <si>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</si>
  <si>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</si>
  <si>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</si>
  <si>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</si>
  <si>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</si>
  <si>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</si>
  <si>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</si>
  <si>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</si>
  <si>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</si>
  <si>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</si>
  <si>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</si>
  <si>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</si>
  <si>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</si>
  <si>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</si>
  <si>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</si>
  <si>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</si>
  <si>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</si>
  <si>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</si>
  <si>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</si>
  <si>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</si>
  <si>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</si>
  <si>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</si>
  <si>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</si>
  <si>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</si>
  <si>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</si>
  <si>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</si>
  <si>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</si>
  <si>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</si>
  <si>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</si>
  <si>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</si>
  <si>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</si>
  <si>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</si>
  <si>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</si>
  <si>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</si>
  <si>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</si>
  <si>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</si>
  <si>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</si>
  <si>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</si>
  <si>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</si>
  <si>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</si>
  <si>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</si>
  <si>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</si>
  <si>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</si>
  <si>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</si>
  <si>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</si>
  <si>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</si>
  <si>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</si>
  <si>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</si>
  <si>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</si>
  <si>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</si>
  <si>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</si>
  <si>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</si>
  <si>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</si>
  <si>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</si>
  <si>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</si>
  <si>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</si>
  <si>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</si>
  <si>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</si>
  <si>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</si>
  <si>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</si>
  <si>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</si>
  <si>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</si>
  <si>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</si>
  <si>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</si>
  <si>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</si>
  <si>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</si>
  <si>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</si>
  <si>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</si>
  <si>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</si>
  <si>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</si>
  <si>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</si>
  <si>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</si>
  <si>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</si>
  <si>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</si>
  <si>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</si>
  <si>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</si>
  <si>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</si>
  <si>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</si>
  <si>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</si>
  <si>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</si>
  <si>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</si>
  <si>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</si>
  <si>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</si>
  <si>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</si>
  <si>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</si>
  <si>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</si>
  <si>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</si>
  <si>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</si>
  <si>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</si>
  <si>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</si>
  <si>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</si>
  <si>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</si>
  <si>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</si>
  <si>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</si>
  <si>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</si>
  <si>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</si>
  <si>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</si>
  <si>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</si>
  <si>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</si>
  <si>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</si>
  <si>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FLO_EMIS~CO2SF</t>
  </si>
  <si>
    <t>FLO_EMIS~CH4SF</t>
  </si>
  <si>
    <t>* Note: ELC and other PWR X-techs are declared and defined in ELC workbook</t>
  </si>
  <si>
    <t>Agriculture Carbon dioxide South Africa</t>
  </si>
  <si>
    <t>Agriculture Methane South Africa</t>
  </si>
  <si>
    <t>Agriculture Nitrous Oxide South Africa</t>
  </si>
  <si>
    <t>Agriculture Sulphur gases South Africa</t>
  </si>
  <si>
    <t>Agriculture Nitrogen gases South Africa</t>
  </si>
  <si>
    <t>Agriculture Carbon monoxide South Africa</t>
  </si>
  <si>
    <t>Agriculture NMVOCs South Africa</t>
  </si>
  <si>
    <t>AGRP10S</t>
  </si>
  <si>
    <t>Agriculture PM10 South Africa</t>
  </si>
  <si>
    <t>Commercial Carbon dioxide South Africa</t>
  </si>
  <si>
    <t>Commercial Methane South Africa</t>
  </si>
  <si>
    <t>Commercial Nitrous Oxide South Africa</t>
  </si>
  <si>
    <t>Commercial Sulphur gases South Africa</t>
  </si>
  <si>
    <t>Commercial Nitrogen gases South Africa</t>
  </si>
  <si>
    <t>Commercial Carbon monoxide South Africa</t>
  </si>
  <si>
    <t>Commercial NMVOCs South Africa</t>
  </si>
  <si>
    <t>COMP10S</t>
  </si>
  <si>
    <t>Commercial PM10 South Africa</t>
  </si>
  <si>
    <t>Industry Carbon dioxide South Africa</t>
  </si>
  <si>
    <t>Industry Methane South Africa</t>
  </si>
  <si>
    <t>Industry Nitrous Oxide South Africa</t>
  </si>
  <si>
    <t>Industry Sulphur gases South Africa</t>
  </si>
  <si>
    <t>Industry Nitrogen gases South Africa</t>
  </si>
  <si>
    <t>Industry Carbon monoxide South Africa</t>
  </si>
  <si>
    <t>Industry NMVOCs South Africa</t>
  </si>
  <si>
    <t>INDP10S</t>
  </si>
  <si>
    <t>Industry PM10 South Africa</t>
  </si>
  <si>
    <t>Transport Carbon dioxide South Africa</t>
  </si>
  <si>
    <t>Transport Methane South Africa</t>
  </si>
  <si>
    <t>Transport Nitrous Oxide South Africa</t>
  </si>
  <si>
    <t>Transport Sulphur gases South Africa</t>
  </si>
  <si>
    <t>Transport Nitrogen gases South Africa</t>
  </si>
  <si>
    <t>Transport Carbon monoxide South Africa</t>
  </si>
  <si>
    <t>Transport NMVOCs South Africa</t>
  </si>
  <si>
    <t>TRAP10S</t>
  </si>
  <si>
    <t>Transport PM10 South Africa</t>
  </si>
  <si>
    <t>Residential Carbon dioxide South Africa</t>
  </si>
  <si>
    <t>Residential Methane South Africa</t>
  </si>
  <si>
    <t>Residential Nitrous Oxide South Africa</t>
  </si>
  <si>
    <t>Residential Sulphur gases South Africa</t>
  </si>
  <si>
    <t>Residential Nitrogen gases South Africa</t>
  </si>
  <si>
    <t>Residential Carbon monoxide South Africa</t>
  </si>
  <si>
    <t>Residential NMVOCs South Africa</t>
  </si>
  <si>
    <t>RESP10S</t>
  </si>
  <si>
    <t>Residential PM10 South Africa</t>
  </si>
  <si>
    <t>Power Sector Carbon dioxide South Africa</t>
  </si>
  <si>
    <t>Power Sector Methane South Africa</t>
  </si>
  <si>
    <t>Power Sector Nitrous Oxide South Africa</t>
  </si>
  <si>
    <t>Power Sector Sulphur gases South Africa</t>
  </si>
  <si>
    <t>Power Sector Nitrogen gases South Africa</t>
  </si>
  <si>
    <t>Power Sector Carbon monoxide South Africa</t>
  </si>
  <si>
    <t>Power Sector NMVOCs South Africa</t>
  </si>
  <si>
    <t>PWRP10S</t>
  </si>
  <si>
    <t>Power Sector PM10 South Africa</t>
  </si>
  <si>
    <t>PWRCO2R</t>
  </si>
  <si>
    <t>Power Sector Carbon dioxide Region</t>
  </si>
  <si>
    <t>PWRCH4R</t>
  </si>
  <si>
    <t>Power Sector Methane Region</t>
  </si>
  <si>
    <t>PWRN2OR</t>
  </si>
  <si>
    <t>Power Sector Nitrous Oxide Region</t>
  </si>
  <si>
    <t>PWRSOXR</t>
  </si>
  <si>
    <t>Power Sector Sulphur gases Region</t>
  </si>
  <si>
    <t>PWRNOXR</t>
  </si>
  <si>
    <t>Power Sector Nitrogen gases Region</t>
  </si>
  <si>
    <t>PWRCMOR</t>
  </si>
  <si>
    <t>Power Sector Carbon monoxide Region</t>
  </si>
  <si>
    <t>PWRNMVR</t>
  </si>
  <si>
    <t>Power Sector NMVOCs Region</t>
  </si>
  <si>
    <t>PWRP10R</t>
  </si>
  <si>
    <t>Power Sector PM10 Region</t>
  </si>
  <si>
    <t>Supply Sector Carbon dioxide South Africa</t>
  </si>
  <si>
    <t>Supply Sector Methane South Africa</t>
  </si>
  <si>
    <t>Supply Sector Nitrous Oxide South Africa</t>
  </si>
  <si>
    <t>Supply Sector Sulphur gases South Africa</t>
  </si>
  <si>
    <t>Supply Sector Nitrogen gases South Africa</t>
  </si>
  <si>
    <t>Supply Sector Carbon monoxide South Africa</t>
  </si>
  <si>
    <t>Supply Sector NMVOCs South Africa</t>
  </si>
  <si>
    <t>UPSP10S</t>
  </si>
  <si>
    <t>Supply Sector PM10 South Africa</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</si>
  <si>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</si>
  <si>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</si>
  <si>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</si>
  <si>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</si>
  <si>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</si>
  <si>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</si>
  <si>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</si>
  <si>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 Sector Combustion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</si>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</sst>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3"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
      <sz val="9"/>
      <color indexed="81"/>
      <name val="Tahoma"/>
      <charset val="1"/>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6">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cellStyleXfs>
  <cellXfs count="452">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171" fontId="39" fillId="0" borderId="0" xfId="20" applyNumberFormat="1" applyFont="1" applyAlignment="1">
      <alignment horizontal="center"/>
    </xf>
    <xf numFmtId="0" fontId="3" fillId="0" borderId="0" xfId="0"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6">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theme" Target="theme/theme1.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89" dT="2021-07-26T15:05:55.74" personId="{E500B1BD-2FF0-4DFA-88F6-72D20CDE0583}" id="{6A82080C-3A46-4F98-A8BB-1FF2F957BEF2}">
    <text>.56 added to avoid zzs</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45153.577728935183</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45153.577728935183</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0"/>
  <sheetViews>
    <sheetView workbookViewId="0">
      <selection activeCell="C49" sqref="C49:C57"/>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134</v>
      </c>
    </row>
    <row r="4" spans="1:4" x14ac:dyDescent="0.2">
      <c r="B4" s="29" t="s">
        <v>135</v>
      </c>
      <c r="C4" s="29" t="s">
        <v>136</v>
      </c>
    </row>
    <row r="5" spans="1:4" x14ac:dyDescent="0.2">
      <c r="A5" s="28">
        <v>1</v>
      </c>
      <c r="B5" s="28" t="s">
        <v>145</v>
      </c>
      <c r="C5" s="28" t="s">
        <v>146</v>
      </c>
    </row>
    <row r="6" spans="1:4" x14ac:dyDescent="0.2">
      <c r="A6" s="28">
        <f t="shared" ref="A6:A45" si="0">A5+1</f>
        <v>2</v>
      </c>
      <c r="B6" s="28" t="s">
        <v>147</v>
      </c>
      <c r="C6" s="28" t="s">
        <v>148</v>
      </c>
    </row>
    <row r="7" spans="1:4" x14ac:dyDescent="0.2">
      <c r="A7" s="28">
        <f t="shared" si="0"/>
        <v>3</v>
      </c>
      <c r="B7" s="28" t="s">
        <v>149</v>
      </c>
      <c r="C7" s="28" t="s">
        <v>150</v>
      </c>
    </row>
    <row r="8" spans="1:4" x14ac:dyDescent="0.2">
      <c r="A8" s="28">
        <f t="shared" si="0"/>
        <v>4</v>
      </c>
      <c r="B8" s="28" t="s">
        <v>151</v>
      </c>
      <c r="C8" s="28" t="s">
        <v>152</v>
      </c>
    </row>
    <row r="9" spans="1:4" x14ac:dyDescent="0.2">
      <c r="A9" s="28">
        <f t="shared" si="0"/>
        <v>5</v>
      </c>
      <c r="B9" s="28" t="s">
        <v>153</v>
      </c>
      <c r="C9" s="28" t="s">
        <v>154</v>
      </c>
    </row>
    <row r="10" spans="1:4" x14ac:dyDescent="0.2">
      <c r="A10" s="28">
        <f t="shared" si="0"/>
        <v>6</v>
      </c>
      <c r="B10" s="28" t="s">
        <v>155</v>
      </c>
      <c r="C10" s="28" t="s">
        <v>156</v>
      </c>
    </row>
    <row r="11" spans="1:4" x14ac:dyDescent="0.2">
      <c r="A11" s="28">
        <f t="shared" si="0"/>
        <v>7</v>
      </c>
      <c r="B11" s="28" t="s">
        <v>157</v>
      </c>
      <c r="C11" s="28" t="s">
        <v>158</v>
      </c>
    </row>
    <row r="12" spans="1:4" x14ac:dyDescent="0.2">
      <c r="A12" s="28">
        <f t="shared" si="0"/>
        <v>8</v>
      </c>
      <c r="B12" s="28" t="s">
        <v>159</v>
      </c>
      <c r="C12" s="28" t="s">
        <v>160</v>
      </c>
    </row>
    <row r="13" spans="1:4" ht="15" x14ac:dyDescent="0.25">
      <c r="A13" s="28">
        <f t="shared" si="0"/>
        <v>9</v>
      </c>
      <c r="B13" t="s">
        <v>161</v>
      </c>
      <c r="C13" t="s">
        <v>162</v>
      </c>
    </row>
    <row r="14" spans="1:4" ht="15" x14ac:dyDescent="0.25">
      <c r="A14" s="28">
        <f t="shared" si="0"/>
        <v>10</v>
      </c>
      <c r="B14" t="s">
        <v>163</v>
      </c>
      <c r="C14" t="s">
        <v>164</v>
      </c>
    </row>
    <row r="15" spans="1:4" customFormat="1" ht="15" x14ac:dyDescent="0.25">
      <c r="A15">
        <f t="shared" si="0"/>
        <v>11</v>
      </c>
      <c r="B15" t="s">
        <v>165</v>
      </c>
      <c r="C15" t="s">
        <v>166</v>
      </c>
    </row>
    <row r="16" spans="1:4" customFormat="1" ht="15" x14ac:dyDescent="0.25">
      <c r="A16">
        <f t="shared" si="0"/>
        <v>12</v>
      </c>
      <c r="B16" t="s">
        <v>167</v>
      </c>
      <c r="C16" t="s">
        <v>168</v>
      </c>
    </row>
    <row r="17" spans="1:3" customFormat="1" ht="15" x14ac:dyDescent="0.25">
      <c r="A17">
        <f t="shared" si="0"/>
        <v>13</v>
      </c>
      <c r="B17" t="s">
        <v>169</v>
      </c>
      <c r="C17" t="s">
        <v>170</v>
      </c>
    </row>
    <row r="18" spans="1:3" customFormat="1" ht="15" x14ac:dyDescent="0.25">
      <c r="A18">
        <f t="shared" si="0"/>
        <v>14</v>
      </c>
      <c r="B18" t="s">
        <v>171</v>
      </c>
      <c r="C18" t="s">
        <v>172</v>
      </c>
    </row>
    <row r="19" spans="1:3" customFormat="1" ht="15" x14ac:dyDescent="0.25">
      <c r="A19">
        <f t="shared" si="0"/>
        <v>15</v>
      </c>
      <c r="B19" t="s">
        <v>173</v>
      </c>
      <c r="C19" t="s">
        <v>174</v>
      </c>
    </row>
    <row r="20" spans="1:3" customFormat="1" ht="15" x14ac:dyDescent="0.25">
      <c r="A20">
        <f t="shared" si="0"/>
        <v>16</v>
      </c>
      <c r="B20" t="s">
        <v>175</v>
      </c>
      <c r="C20" t="s">
        <v>176</v>
      </c>
    </row>
    <row r="21" spans="1:3" x14ac:dyDescent="0.2">
      <c r="A21" s="28">
        <f t="shared" si="0"/>
        <v>17</v>
      </c>
      <c r="B21" s="28" t="s">
        <v>177</v>
      </c>
      <c r="C21" s="28" t="s">
        <v>178</v>
      </c>
    </row>
    <row r="22" spans="1:3" x14ac:dyDescent="0.2">
      <c r="A22" s="28">
        <f t="shared" si="0"/>
        <v>18</v>
      </c>
      <c r="B22" s="28" t="s">
        <v>179</v>
      </c>
      <c r="C22" s="28" t="s">
        <v>180</v>
      </c>
    </row>
    <row r="23" spans="1:3" x14ac:dyDescent="0.2">
      <c r="A23" s="28">
        <f t="shared" si="0"/>
        <v>19</v>
      </c>
      <c r="B23" s="28" t="s">
        <v>181</v>
      </c>
      <c r="C23" s="28" t="s">
        <v>182</v>
      </c>
    </row>
    <row r="24" spans="1:3" x14ac:dyDescent="0.2">
      <c r="A24" s="28">
        <f t="shared" si="0"/>
        <v>20</v>
      </c>
      <c r="B24" s="28" t="s">
        <v>183</v>
      </c>
      <c r="C24" s="28" t="s">
        <v>184</v>
      </c>
    </row>
    <row r="25" spans="1:3" x14ac:dyDescent="0.2">
      <c r="A25" s="28">
        <f t="shared" si="0"/>
        <v>21</v>
      </c>
      <c r="B25" s="28" t="s">
        <v>185</v>
      </c>
      <c r="C25" s="28" t="s">
        <v>186</v>
      </c>
    </row>
    <row r="26" spans="1:3" x14ac:dyDescent="0.2">
      <c r="A26" s="28">
        <f t="shared" si="0"/>
        <v>22</v>
      </c>
      <c r="B26" s="28" t="s">
        <v>187</v>
      </c>
      <c r="C26" s="28" t="s">
        <v>188</v>
      </c>
    </row>
    <row r="27" spans="1:3" x14ac:dyDescent="0.2">
      <c r="A27" s="28">
        <f t="shared" si="0"/>
        <v>23</v>
      </c>
      <c r="B27" s="28" t="s">
        <v>189</v>
      </c>
      <c r="C27" s="28" t="s">
        <v>190</v>
      </c>
    </row>
    <row r="28" spans="1:3" x14ac:dyDescent="0.2">
      <c r="A28" s="28">
        <f t="shared" si="0"/>
        <v>24</v>
      </c>
      <c r="B28" s="28" t="s">
        <v>191</v>
      </c>
      <c r="C28" s="28" t="s">
        <v>192</v>
      </c>
    </row>
    <row r="29" spans="1:3" x14ac:dyDescent="0.2">
      <c r="A29" s="28">
        <f t="shared" si="0"/>
        <v>25</v>
      </c>
      <c r="B29" s="28" t="s">
        <v>193</v>
      </c>
      <c r="C29" s="28" t="s">
        <v>194</v>
      </c>
    </row>
    <row r="30" spans="1:3" x14ac:dyDescent="0.2">
      <c r="A30" s="28">
        <f t="shared" si="0"/>
        <v>26</v>
      </c>
      <c r="B30" s="28" t="s">
        <v>195</v>
      </c>
      <c r="C30" s="28" t="s">
        <v>196</v>
      </c>
    </row>
    <row r="31" spans="1:3" x14ac:dyDescent="0.2">
      <c r="A31" s="28">
        <f t="shared" si="0"/>
        <v>27</v>
      </c>
      <c r="B31" s="28" t="s">
        <v>197</v>
      </c>
      <c r="C31" s="28" t="s">
        <v>198</v>
      </c>
    </row>
    <row r="32" spans="1:3" s="33" customFormat="1" x14ac:dyDescent="0.2">
      <c r="A32" s="28">
        <f>A31+1</f>
        <v>28</v>
      </c>
      <c r="B32" s="33" t="s">
        <v>199</v>
      </c>
      <c r="C32" s="33" t="s">
        <v>200</v>
      </c>
    </row>
    <row r="33" spans="1:4" x14ac:dyDescent="0.2">
      <c r="A33" s="28">
        <f>A32+1</f>
        <v>29</v>
      </c>
      <c r="B33" s="28" t="s">
        <v>201</v>
      </c>
      <c r="C33" s="28" t="s">
        <v>202</v>
      </c>
    </row>
    <row r="34" spans="1:4" x14ac:dyDescent="0.2">
      <c r="A34" s="28">
        <f t="shared" si="0"/>
        <v>30</v>
      </c>
      <c r="B34" s="34" t="s">
        <v>203</v>
      </c>
      <c r="C34" s="28" t="s">
        <v>204</v>
      </c>
    </row>
    <row r="35" spans="1:4" x14ac:dyDescent="0.2">
      <c r="A35" s="28">
        <f t="shared" si="0"/>
        <v>31</v>
      </c>
      <c r="B35" s="28" t="s">
        <v>205</v>
      </c>
      <c r="C35" s="28" t="s">
        <v>206</v>
      </c>
    </row>
    <row r="36" spans="1:4" x14ac:dyDescent="0.2">
      <c r="A36" s="28">
        <f t="shared" si="0"/>
        <v>32</v>
      </c>
      <c r="B36" s="28" t="s">
        <v>207</v>
      </c>
      <c r="C36" s="28" t="s">
        <v>208</v>
      </c>
    </row>
    <row r="37" spans="1:4" x14ac:dyDescent="0.2">
      <c r="A37" s="28">
        <f t="shared" si="0"/>
        <v>33</v>
      </c>
      <c r="B37" s="28" t="s">
        <v>209</v>
      </c>
      <c r="C37" s="28" t="s">
        <v>210</v>
      </c>
    </row>
    <row r="38" spans="1:4" x14ac:dyDescent="0.2">
      <c r="A38" s="28">
        <f t="shared" si="0"/>
        <v>34</v>
      </c>
      <c r="B38" s="28" t="s">
        <v>211</v>
      </c>
      <c r="C38" s="28" t="s">
        <v>212</v>
      </c>
    </row>
    <row r="39" spans="1:4" x14ac:dyDescent="0.2">
      <c r="A39" s="28">
        <f t="shared" si="0"/>
        <v>35</v>
      </c>
      <c r="B39" s="28" t="s">
        <v>213</v>
      </c>
      <c r="C39" s="28" t="s">
        <v>214</v>
      </c>
    </row>
    <row r="40" spans="1:4" x14ac:dyDescent="0.2">
      <c r="A40" s="28">
        <f t="shared" si="0"/>
        <v>36</v>
      </c>
      <c r="B40" s="28" t="s">
        <v>215</v>
      </c>
      <c r="C40" s="28" t="s">
        <v>216</v>
      </c>
    </row>
    <row r="41" spans="1:4" x14ac:dyDescent="0.2">
      <c r="A41" s="28">
        <f t="shared" si="0"/>
        <v>37</v>
      </c>
      <c r="B41" s="28" t="s">
        <v>217</v>
      </c>
      <c r="C41" s="28" t="s">
        <v>218</v>
      </c>
    </row>
    <row r="42" spans="1:4" x14ac:dyDescent="0.2">
      <c r="A42" s="28">
        <f t="shared" si="0"/>
        <v>38</v>
      </c>
      <c r="B42" s="28" t="s">
        <v>219</v>
      </c>
      <c r="C42" s="28" t="s">
        <v>220</v>
      </c>
    </row>
    <row r="43" spans="1:4" x14ac:dyDescent="0.2">
      <c r="A43" s="28">
        <f t="shared" si="0"/>
        <v>39</v>
      </c>
      <c r="B43" s="28" t="s">
        <v>221</v>
      </c>
      <c r="C43" s="28" t="s">
        <v>222</v>
      </c>
    </row>
    <row r="44" spans="1:4" x14ac:dyDescent="0.2">
      <c r="A44" s="28">
        <f t="shared" si="0"/>
        <v>40</v>
      </c>
      <c r="B44" s="28" t="s">
        <v>223</v>
      </c>
      <c r="C44" s="28" t="s">
        <v>224</v>
      </c>
    </row>
    <row r="45" spans="1:4" x14ac:dyDescent="0.2">
      <c r="A45" s="28">
        <f t="shared" si="0"/>
        <v>41</v>
      </c>
      <c r="B45" s="28" t="s">
        <v>225</v>
      </c>
    </row>
    <row r="47" spans="1:4" x14ac:dyDescent="0.2">
      <c r="D47" s="30"/>
    </row>
    <row r="48" spans="1:4" ht="15" x14ac:dyDescent="0.25">
      <c r="B48" s="26" t="s">
        <v>226</v>
      </c>
      <c r="C48" s="26" t="s">
        <v>227</v>
      </c>
      <c r="D48" s="30"/>
    </row>
    <row r="49" spans="2:4" ht="15" x14ac:dyDescent="0.25">
      <c r="B49" t="s">
        <v>5</v>
      </c>
      <c r="C49" t="s">
        <v>0</v>
      </c>
      <c r="D49" s="30"/>
    </row>
    <row r="50" spans="2:4" ht="15" x14ac:dyDescent="0.25">
      <c r="B50" t="s">
        <v>6</v>
      </c>
      <c r="C50" t="s">
        <v>228</v>
      </c>
      <c r="D50" s="30"/>
    </row>
    <row r="51" spans="2:4" ht="15" x14ac:dyDescent="0.25">
      <c r="B51" t="s">
        <v>7</v>
      </c>
      <c r="C51" t="s">
        <v>1</v>
      </c>
      <c r="D51" s="30"/>
    </row>
    <row r="52" spans="2:4" ht="15" x14ac:dyDescent="0.25">
      <c r="B52" t="s">
        <v>10</v>
      </c>
      <c r="C52" t="s">
        <v>229</v>
      </c>
      <c r="D52" s="30"/>
    </row>
    <row r="53" spans="2:4" ht="15" x14ac:dyDescent="0.25">
      <c r="B53" t="s">
        <v>9</v>
      </c>
      <c r="C53" t="s">
        <v>3</v>
      </c>
      <c r="D53" s="30"/>
    </row>
    <row r="54" spans="2:4" ht="15" x14ac:dyDescent="0.25">
      <c r="B54" t="s">
        <v>8</v>
      </c>
      <c r="C54" t="s">
        <v>2</v>
      </c>
      <c r="D54" s="30"/>
    </row>
    <row r="55" spans="2:4" ht="15" x14ac:dyDescent="0.25">
      <c r="B55" t="s">
        <v>11</v>
      </c>
      <c r="C55" t="s">
        <v>230</v>
      </c>
      <c r="D55" s="30"/>
    </row>
    <row r="56" spans="2:4" ht="15" x14ac:dyDescent="0.25">
      <c r="B56"/>
      <c r="C56"/>
      <c r="D56" s="30"/>
    </row>
    <row r="57" spans="2:4" ht="15" x14ac:dyDescent="0.25">
      <c r="B57"/>
      <c r="C57"/>
      <c r="D57" s="30"/>
    </row>
    <row r="58" spans="2:4" x14ac:dyDescent="0.2">
      <c r="D58" s="30"/>
    </row>
    <row r="59" spans="2:4" x14ac:dyDescent="0.2">
      <c r="D59" s="30"/>
    </row>
    <row r="60" spans="2:4" x14ac:dyDescent="0.2">
      <c r="D60" s="30"/>
    </row>
    <row r="61" spans="2:4" x14ac:dyDescent="0.2">
      <c r="D61" s="30"/>
    </row>
    <row r="62" spans="2:4" x14ac:dyDescent="0.2">
      <c r="D62" s="30"/>
    </row>
    <row r="63" spans="2:4" x14ac:dyDescent="0.2">
      <c r="D63" s="30"/>
    </row>
    <row r="64" spans="2:4" x14ac:dyDescent="0.2">
      <c r="D64" s="30"/>
    </row>
    <row r="65" spans="1:4" x14ac:dyDescent="0.2">
      <c r="D65" s="30"/>
    </row>
    <row r="66" spans="1:4" x14ac:dyDescent="0.2">
      <c r="D66" s="30"/>
    </row>
    <row r="67" spans="1:4" x14ac:dyDescent="0.2">
      <c r="C67" s="30" t="s">
        <v>231</v>
      </c>
    </row>
    <row r="68" spans="1:4" x14ac:dyDescent="0.2">
      <c r="C68" s="30">
        <f t="shared" ref="C68:C107" si="1">COUNTIF($C$5:$C$44,C5)</f>
        <v>1</v>
      </c>
    </row>
    <row r="69" spans="1:4" x14ac:dyDescent="0.2">
      <c r="C69" s="30">
        <f t="shared" si="1"/>
        <v>1</v>
      </c>
    </row>
    <row r="70" spans="1:4" x14ac:dyDescent="0.2">
      <c r="C70" s="30">
        <f t="shared" si="1"/>
        <v>1</v>
      </c>
    </row>
    <row r="71" spans="1:4" x14ac:dyDescent="0.2">
      <c r="C71" s="30">
        <f t="shared" si="1"/>
        <v>1</v>
      </c>
    </row>
    <row r="72" spans="1:4" x14ac:dyDescent="0.2">
      <c r="C72" s="30">
        <f t="shared" si="1"/>
        <v>1</v>
      </c>
    </row>
    <row r="73" spans="1:4" x14ac:dyDescent="0.2">
      <c r="C73" s="30">
        <f t="shared" si="1"/>
        <v>1</v>
      </c>
    </row>
    <row r="74" spans="1:4" x14ac:dyDescent="0.2">
      <c r="C74" s="30">
        <f t="shared" si="1"/>
        <v>1</v>
      </c>
    </row>
    <row r="75" spans="1:4" x14ac:dyDescent="0.2">
      <c r="C75" s="30">
        <f t="shared" si="1"/>
        <v>1</v>
      </c>
    </row>
    <row r="76" spans="1:4" x14ac:dyDescent="0.2">
      <c r="C76" s="30">
        <f t="shared" si="1"/>
        <v>1</v>
      </c>
    </row>
    <row r="77" spans="1:4" x14ac:dyDescent="0.2">
      <c r="C77" s="30">
        <f t="shared" si="1"/>
        <v>1</v>
      </c>
    </row>
    <row r="78" spans="1:4" x14ac:dyDescent="0.2">
      <c r="C78" s="30">
        <f t="shared" si="1"/>
        <v>1</v>
      </c>
    </row>
    <row r="79" spans="1:4" x14ac:dyDescent="0.2">
      <c r="A79" s="28">
        <v>1</v>
      </c>
      <c r="C79" s="30">
        <f t="shared" si="1"/>
        <v>1</v>
      </c>
    </row>
    <row r="80" spans="1:4" x14ac:dyDescent="0.2">
      <c r="A80" s="28">
        <v>2</v>
      </c>
      <c r="C80" s="30">
        <f t="shared" si="1"/>
        <v>1</v>
      </c>
    </row>
    <row r="81" spans="1:3" x14ac:dyDescent="0.2">
      <c r="A81" s="28">
        <v>3</v>
      </c>
      <c r="C81" s="30">
        <f t="shared" si="1"/>
        <v>1</v>
      </c>
    </row>
    <row r="82" spans="1:3" x14ac:dyDescent="0.2">
      <c r="A82" s="28">
        <v>4</v>
      </c>
      <c r="C82" s="30">
        <f t="shared" si="1"/>
        <v>1</v>
      </c>
    </row>
    <row r="83" spans="1:3" x14ac:dyDescent="0.2">
      <c r="A83" s="28">
        <v>5</v>
      </c>
      <c r="C83" s="30">
        <f t="shared" si="1"/>
        <v>1</v>
      </c>
    </row>
    <row r="84" spans="1:3" x14ac:dyDescent="0.2">
      <c r="A84" s="28">
        <v>6</v>
      </c>
      <c r="C84" s="30">
        <f t="shared" si="1"/>
        <v>1</v>
      </c>
    </row>
    <row r="85" spans="1:3" x14ac:dyDescent="0.2">
      <c r="A85" s="28">
        <v>7</v>
      </c>
      <c r="C85" s="30">
        <f t="shared" si="1"/>
        <v>1</v>
      </c>
    </row>
    <row r="86" spans="1:3" x14ac:dyDescent="0.2">
      <c r="A86" s="28">
        <v>8</v>
      </c>
      <c r="C86" s="30">
        <f t="shared" si="1"/>
        <v>1</v>
      </c>
    </row>
    <row r="87" spans="1:3" x14ac:dyDescent="0.2">
      <c r="A87" s="28">
        <v>9</v>
      </c>
      <c r="C87" s="30">
        <f t="shared" si="1"/>
        <v>1</v>
      </c>
    </row>
    <row r="88" spans="1:3" x14ac:dyDescent="0.2">
      <c r="A88" s="28">
        <v>10</v>
      </c>
      <c r="C88" s="30">
        <f t="shared" si="1"/>
        <v>1</v>
      </c>
    </row>
    <row r="89" spans="1:3" x14ac:dyDescent="0.2">
      <c r="A89" s="28">
        <v>11</v>
      </c>
      <c r="C89" s="30">
        <f t="shared" si="1"/>
        <v>1</v>
      </c>
    </row>
    <row r="90" spans="1:3" x14ac:dyDescent="0.2">
      <c r="A90" s="28">
        <v>12</v>
      </c>
      <c r="C90" s="30">
        <f t="shared" si="1"/>
        <v>1</v>
      </c>
    </row>
    <row r="91" spans="1:3" x14ac:dyDescent="0.2">
      <c r="A91" s="28">
        <v>13</v>
      </c>
      <c r="C91" s="30">
        <f t="shared" si="1"/>
        <v>1</v>
      </c>
    </row>
    <row r="92" spans="1:3" x14ac:dyDescent="0.2">
      <c r="A92" s="28">
        <v>14</v>
      </c>
      <c r="C92" s="30">
        <f t="shared" si="1"/>
        <v>1</v>
      </c>
    </row>
    <row r="93" spans="1:3" x14ac:dyDescent="0.2">
      <c r="A93" s="28">
        <v>15</v>
      </c>
      <c r="C93" s="30">
        <f t="shared" si="1"/>
        <v>1</v>
      </c>
    </row>
    <row r="94" spans="1:3" x14ac:dyDescent="0.2">
      <c r="A94" s="28">
        <v>16</v>
      </c>
      <c r="C94" s="30">
        <f t="shared" si="1"/>
        <v>1</v>
      </c>
    </row>
    <row r="95" spans="1:3" x14ac:dyDescent="0.2">
      <c r="A95" s="28">
        <v>17</v>
      </c>
      <c r="C95" s="30">
        <f t="shared" si="1"/>
        <v>1</v>
      </c>
    </row>
    <row r="96" spans="1:3" x14ac:dyDescent="0.2">
      <c r="A96" s="28">
        <v>18</v>
      </c>
      <c r="C96" s="30">
        <f t="shared" si="1"/>
        <v>1</v>
      </c>
    </row>
    <row r="97" spans="1:3" x14ac:dyDescent="0.2">
      <c r="A97" s="28">
        <v>19</v>
      </c>
      <c r="C97" s="30">
        <f t="shared" si="1"/>
        <v>1</v>
      </c>
    </row>
    <row r="98" spans="1:3" x14ac:dyDescent="0.2">
      <c r="A98" s="28">
        <v>20</v>
      </c>
      <c r="C98" s="30">
        <f t="shared" si="1"/>
        <v>1</v>
      </c>
    </row>
    <row r="99" spans="1:3" x14ac:dyDescent="0.2">
      <c r="A99" s="28">
        <v>21</v>
      </c>
      <c r="C99" s="30">
        <f t="shared" si="1"/>
        <v>1</v>
      </c>
    </row>
    <row r="100" spans="1:3" x14ac:dyDescent="0.2">
      <c r="A100" s="28">
        <v>22</v>
      </c>
      <c r="C100" s="30">
        <f t="shared" si="1"/>
        <v>1</v>
      </c>
    </row>
    <row r="101" spans="1:3" ht="15" x14ac:dyDescent="0.25">
      <c r="B101"/>
      <c r="C101" s="30">
        <f t="shared" si="1"/>
        <v>1</v>
      </c>
    </row>
    <row r="102" spans="1:3" ht="15" x14ac:dyDescent="0.25">
      <c r="B102"/>
      <c r="C102" s="30">
        <f t="shared" si="1"/>
        <v>1</v>
      </c>
    </row>
    <row r="103" spans="1:3" ht="15" x14ac:dyDescent="0.25">
      <c r="B103"/>
      <c r="C103" s="30">
        <f t="shared" si="1"/>
        <v>1</v>
      </c>
    </row>
    <row r="104" spans="1:3" ht="15" x14ac:dyDescent="0.25">
      <c r="B104"/>
      <c r="C104" s="30">
        <f t="shared" si="1"/>
        <v>1</v>
      </c>
    </row>
    <row r="105" spans="1:3" ht="15" x14ac:dyDescent="0.25">
      <c r="B105"/>
      <c r="C105" s="30">
        <f t="shared" si="1"/>
        <v>1</v>
      </c>
    </row>
    <row r="106" spans="1:3" ht="15" x14ac:dyDescent="0.25">
      <c r="B106"/>
      <c r="C106" s="30">
        <f t="shared" si="1"/>
        <v>1</v>
      </c>
    </row>
    <row r="107" spans="1:3" ht="15" x14ac:dyDescent="0.25">
      <c r="B107"/>
      <c r="C107" s="30">
        <f t="shared" si="1"/>
        <v>1</v>
      </c>
    </row>
    <row r="108" spans="1:3" ht="15" x14ac:dyDescent="0.25">
      <c r="B108"/>
      <c r="C108" s="30"/>
    </row>
    <row r="109" spans="1:3" ht="15" x14ac:dyDescent="0.25">
      <c r="B109"/>
      <c r="C109" s="30"/>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row>
    <row r="119" spans="2:4" ht="15" x14ac:dyDescent="0.25">
      <c r="B119"/>
    </row>
    <row r="120" spans="2:4" x14ac:dyDescent="0.2">
      <c r="B120" s="29"/>
      <c r="C120" s="29"/>
      <c r="D120" s="29"/>
    </row>
    <row r="121" spans="2:4" ht="15" x14ac:dyDescent="0.25">
      <c r="B121"/>
      <c r="C121"/>
    </row>
    <row r="123" spans="2:4" ht="15" x14ac:dyDescent="0.25">
      <c r="B123" s="35"/>
      <c r="C123"/>
    </row>
    <row r="127" spans="2:4" ht="15" x14ac:dyDescent="0.25">
      <c r="B127"/>
    </row>
    <row r="128" spans="2:4" ht="15" x14ac:dyDescent="0.25">
      <c r="B128"/>
    </row>
    <row r="129" spans="2:2" ht="15" x14ac:dyDescent="0.25">
      <c r="B129"/>
    </row>
    <row r="130" spans="2:2" ht="15" x14ac:dyDescent="0.25">
      <c r="B130"/>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2" customWidth="1"/>
    <col min="2" max="2" width="14.28515625" style="382" customWidth="1"/>
    <col min="3" max="3" width="27.42578125" style="382" customWidth="1"/>
    <col min="4" max="4" width="10.28515625" style="382" customWidth="1"/>
    <col min="5" max="5" width="28.7109375" style="382" customWidth="1"/>
    <col min="6" max="10" width="11.42578125" style="382"/>
    <col min="11" max="11" width="19.85546875" style="382" customWidth="1"/>
    <col min="12" max="16384" width="11.42578125" style="382"/>
  </cols>
  <sheetData>
    <row r="1" spans="1:12" ht="18" thickBot="1" x14ac:dyDescent="0.35">
      <c r="A1" s="293"/>
      <c r="B1" s="169" t="s">
        <v>1143</v>
      </c>
      <c r="C1" s="169"/>
      <c r="D1" s="169"/>
      <c r="E1" s="169"/>
    </row>
    <row r="2" spans="1:12" ht="12" thickTop="1" x14ac:dyDescent="0.2"/>
    <row r="3" spans="1:12" ht="15" x14ac:dyDescent="0.25">
      <c r="B3" s="385" t="s">
        <v>652</v>
      </c>
      <c r="C3" s="386"/>
      <c r="D3" s="386"/>
      <c r="E3" s="386"/>
      <c r="F3" s="386"/>
      <c r="G3" s="386"/>
      <c r="H3" s="174"/>
      <c r="I3" s="174"/>
    </row>
    <row r="4" spans="1:12" ht="15" x14ac:dyDescent="0.25">
      <c r="B4" s="387" t="s">
        <v>336</v>
      </c>
      <c r="C4" s="387" t="s">
        <v>335</v>
      </c>
      <c r="D4" s="387" t="s">
        <v>663</v>
      </c>
      <c r="E4" s="387" t="s">
        <v>664</v>
      </c>
      <c r="F4" s="387" t="s">
        <v>665</v>
      </c>
      <c r="G4" s="387" t="s">
        <v>666</v>
      </c>
      <c r="H4" s="174"/>
      <c r="I4" s="174"/>
    </row>
    <row r="5" spans="1:12" x14ac:dyDescent="0.2">
      <c r="A5" s="382" t="s">
        <v>356</v>
      </c>
      <c r="B5" s="293" t="s">
        <v>1034</v>
      </c>
      <c r="C5" s="293"/>
      <c r="D5" s="293"/>
      <c r="E5" s="293"/>
      <c r="F5" s="293"/>
      <c r="H5" s="174"/>
    </row>
    <row r="6" spans="1:12" ht="15" x14ac:dyDescent="0.25">
      <c r="B6" s="382" t="s">
        <v>1036</v>
      </c>
      <c r="C6" s="382" t="s">
        <v>1035</v>
      </c>
      <c r="D6" t="s">
        <v>241</v>
      </c>
      <c r="E6" t="s">
        <v>1027</v>
      </c>
      <c r="F6" s="174" t="s">
        <v>669</v>
      </c>
      <c r="G6" s="174" t="s">
        <v>1051</v>
      </c>
      <c r="H6" s="174"/>
      <c r="K6" s="383"/>
      <c r="L6" s="383"/>
    </row>
    <row r="7" spans="1:12" ht="15" x14ac:dyDescent="0.25">
      <c r="A7" s="382" t="s">
        <v>356</v>
      </c>
      <c r="B7" s="293" t="s">
        <v>1034</v>
      </c>
      <c r="C7" s="293"/>
      <c r="D7" t="str">
        <f>LEFT(L7,2)</f>
        <v/>
      </c>
      <c r="E7" t="str">
        <f>RIGHT(L7,2)</f>
        <v/>
      </c>
      <c r="F7" s="174"/>
      <c r="G7" s="174"/>
      <c r="H7" s="174"/>
      <c r="K7" s="293"/>
      <c r="L7" s="293"/>
    </row>
    <row r="8" spans="1:12" ht="15" x14ac:dyDescent="0.25">
      <c r="B8" s="382" t="s">
        <v>1033</v>
      </c>
      <c r="C8" s="382" t="s">
        <v>1032</v>
      </c>
      <c r="D8" t="str">
        <f>LEFT(L8,2)</f>
        <v/>
      </c>
      <c r="E8" t="s">
        <v>440</v>
      </c>
      <c r="F8" s="174" t="s">
        <v>369</v>
      </c>
      <c r="G8" s="174" t="s">
        <v>1051</v>
      </c>
      <c r="H8" s="174"/>
      <c r="K8" s="383"/>
      <c r="L8" s="383"/>
    </row>
    <row r="9" spans="1:12" ht="15" x14ac:dyDescent="0.25">
      <c r="A9" s="382" t="s">
        <v>356</v>
      </c>
      <c r="B9" s="293" t="str">
        <f>SUP!A59</f>
        <v>* Indegenous Production of Primary Energy - Fossil</v>
      </c>
      <c r="C9" s="293"/>
      <c r="D9" t="str">
        <f>LEFT(L9,2)</f>
        <v/>
      </c>
      <c r="E9" t="str">
        <f>RIGHT(L9,2)</f>
        <v/>
      </c>
      <c r="F9" s="174"/>
      <c r="G9" s="174"/>
      <c r="H9" s="174"/>
      <c r="K9" s="293"/>
      <c r="L9" s="293"/>
    </row>
    <row r="10" spans="1:12" ht="15" x14ac:dyDescent="0.25">
      <c r="B10" s="382" t="s">
        <v>1031</v>
      </c>
      <c r="C10" s="382" t="s">
        <v>1030</v>
      </c>
      <c r="D10" t="s">
        <v>241</v>
      </c>
      <c r="E10" t="s">
        <v>440</v>
      </c>
      <c r="F10" s="174" t="s">
        <v>369</v>
      </c>
      <c r="G10" s="174" t="s">
        <v>1051</v>
      </c>
      <c r="H10" s="174"/>
      <c r="K10" s="383"/>
      <c r="L10" s="383"/>
    </row>
    <row r="11" spans="1:12" ht="15" x14ac:dyDescent="0.25">
      <c r="B11" s="382" t="s">
        <v>1029</v>
      </c>
      <c r="C11" s="382" t="s">
        <v>1028</v>
      </c>
      <c r="D11" t="s">
        <v>241</v>
      </c>
      <c r="E11" t="s">
        <v>440</v>
      </c>
      <c r="F11" s="174" t="s">
        <v>369</v>
      </c>
      <c r="G11" s="174" t="s">
        <v>1051</v>
      </c>
      <c r="H11" s="174"/>
      <c r="K11" s="383"/>
      <c r="L11" s="383"/>
    </row>
    <row r="12" spans="1:12" ht="15" x14ac:dyDescent="0.25">
      <c r="A12" s="382" t="str">
        <f>IF(LEFT(SUP!A60,2)="\I","*","")</f>
        <v/>
      </c>
      <c r="B12" s="382" t="str">
        <f>IF(A12="*","",SUP!B60)</f>
        <v>MINCOA</v>
      </c>
      <c r="C12" s="382" t="str">
        <f>IF(A12="*","",SUP!A60)</f>
        <v>Extraction of Coal</v>
      </c>
      <c r="D12" t="s">
        <v>241</v>
      </c>
      <c r="E12" t="s">
        <v>440</v>
      </c>
      <c r="F12" s="174" t="s">
        <v>369</v>
      </c>
      <c r="G12" s="174" t="s">
        <v>1051</v>
      </c>
      <c r="H12" s="174"/>
      <c r="K12" s="383"/>
      <c r="L12" s="383"/>
    </row>
    <row r="13" spans="1:12" ht="15" x14ac:dyDescent="0.25">
      <c r="A13" s="382" t="str">
        <f>IF(LEFT(SUP!A61,2)="\I","*","")</f>
        <v/>
      </c>
      <c r="B13" s="382" t="str">
        <f>IF(A13="*","",SUP!B61)</f>
        <v>MINCLE</v>
      </c>
      <c r="C13" s="382" t="str">
        <f>IF(A13="*","",SUP!A61)</f>
        <v>Extraction of Coal low grade</v>
      </c>
      <c r="D13" t="s">
        <v>241</v>
      </c>
      <c r="E13" t="s">
        <v>440</v>
      </c>
      <c r="F13" s="174" t="s">
        <v>369</v>
      </c>
      <c r="G13" s="174" t="s">
        <v>1051</v>
      </c>
      <c r="H13" s="174"/>
      <c r="K13" s="383"/>
      <c r="L13" s="383"/>
    </row>
    <row r="14" spans="1:12" ht="15" x14ac:dyDescent="0.25">
      <c r="A14" s="382" t="str">
        <f>IF(LEFT(SUP!A62,2)="\I","*","")</f>
        <v/>
      </c>
      <c r="B14" s="382" t="str">
        <f>IF(A14="*","",SUP!B62)</f>
        <v>MINCLD</v>
      </c>
      <c r="C14" s="382" t="str">
        <f>IF(A14="*","",SUP!A62)</f>
        <v>Extraction of Coal Discard</v>
      </c>
      <c r="D14" t="s">
        <v>241</v>
      </c>
      <c r="E14" t="s">
        <v>440</v>
      </c>
      <c r="F14" s="174" t="s">
        <v>369</v>
      </c>
      <c r="G14" s="174" t="s">
        <v>1051</v>
      </c>
      <c r="H14" s="174"/>
      <c r="K14" s="383"/>
      <c r="L14" s="383"/>
    </row>
    <row r="15" spans="1:12" ht="15" x14ac:dyDescent="0.25">
      <c r="A15" s="382" t="str">
        <f>IF(LEFT(SUP!A63,2)="\I","*","")</f>
        <v/>
      </c>
      <c r="B15" s="382" t="str">
        <f>IF(A15="*","",SUP!B63)</f>
        <v>MINOCR</v>
      </c>
      <c r="C15" s="382" t="str">
        <f>IF(A15="*","",SUP!A63)</f>
        <v>Extraction of Oil Crude</v>
      </c>
      <c r="D15" t="s">
        <v>241</v>
      </c>
      <c r="E15" t="s">
        <v>440</v>
      </c>
      <c r="F15" s="174" t="s">
        <v>369</v>
      </c>
      <c r="G15" s="174" t="s">
        <v>1051</v>
      </c>
      <c r="H15" s="174"/>
      <c r="K15" s="383"/>
      <c r="L15" s="383"/>
    </row>
    <row r="16" spans="1:12" ht="15" x14ac:dyDescent="0.25">
      <c r="A16" s="382" t="s">
        <v>254</v>
      </c>
      <c r="B16" s="382" t="str">
        <f>IF(A16="*","",SUP!B64)</f>
        <v>MINGIC</v>
      </c>
      <c r="C16" s="382" t="str">
        <f>IF(A16="*","",SUP!A64)</f>
        <v>Extraction of Coastal Gas</v>
      </c>
      <c r="D16" t="s">
        <v>241</v>
      </c>
      <c r="E16" t="s">
        <v>440</v>
      </c>
      <c r="F16" s="174" t="s">
        <v>369</v>
      </c>
      <c r="G16" s="174" t="s">
        <v>1051</v>
      </c>
      <c r="H16" s="174"/>
      <c r="K16" s="383"/>
      <c r="L16" s="383"/>
    </row>
    <row r="17" spans="1:12" ht="15" x14ac:dyDescent="0.25">
      <c r="A17" s="382" t="s">
        <v>254</v>
      </c>
      <c r="B17" s="382" t="str">
        <f>IF(A17="*","",SUP!B65)</f>
        <v>MINGIB</v>
      </c>
      <c r="C17" s="382" t="str">
        <f>IF(A17="*","",SUP!A65)</f>
        <v>Extraction of Gas Indigenous Ibhubezi</v>
      </c>
      <c r="D17" t="s">
        <v>241</v>
      </c>
      <c r="E17" t="s">
        <v>440</v>
      </c>
      <c r="F17" s="174" t="s">
        <v>369</v>
      </c>
      <c r="G17" s="174" t="s">
        <v>1051</v>
      </c>
      <c r="H17" s="174"/>
      <c r="K17" s="383"/>
      <c r="L17" s="383"/>
    </row>
    <row r="18" spans="1:12" ht="15" x14ac:dyDescent="0.25">
      <c r="A18" s="382" t="s">
        <v>254</v>
      </c>
      <c r="B18" s="382" t="str">
        <f>IF(A18="*","",SUP!B66)</f>
        <v>MINGAS</v>
      </c>
      <c r="C18" s="382" t="str">
        <f>IF(A18="*","",SUP!A66)</f>
        <v>Extraction of Gas Indigenous Coal Bed Methane</v>
      </c>
      <c r="D18" t="s">
        <v>241</v>
      </c>
      <c r="E18" t="s">
        <v>440</v>
      </c>
      <c r="F18" s="174" t="s">
        <v>369</v>
      </c>
      <c r="G18" s="174" t="s">
        <v>1051</v>
      </c>
      <c r="H18" s="174"/>
      <c r="K18" s="383"/>
      <c r="L18" s="383"/>
    </row>
    <row r="19" spans="1:12" ht="15" x14ac:dyDescent="0.25">
      <c r="A19" s="382" t="s">
        <v>254</v>
      </c>
      <c r="B19" s="382" t="str">
        <f>IF(A19="*","",SUP!B67)</f>
        <v>MINGIH</v>
      </c>
      <c r="C19" s="382" t="str">
        <f>IF(A19="*","",SUP!A67)</f>
        <v>Extraction of Gas Indigenous Shale</v>
      </c>
      <c r="D19" t="s">
        <v>241</v>
      </c>
      <c r="E19" t="s">
        <v>440</v>
      </c>
      <c r="F19" s="174" t="s">
        <v>369</v>
      </c>
      <c r="G19" s="174" t="s">
        <v>1051</v>
      </c>
      <c r="H19" s="174"/>
      <c r="K19" s="383"/>
      <c r="L19" s="383"/>
    </row>
    <row r="20" spans="1:12" ht="15" x14ac:dyDescent="0.25">
      <c r="A20" s="382" t="s">
        <v>356</v>
      </c>
      <c r="B20" s="382" t="str">
        <f>IF(A20="*","",SUP!B68)</f>
        <v/>
      </c>
      <c r="C20" s="382" t="str">
        <f>IF(A20="*","",SUP!A68)</f>
        <v/>
      </c>
      <c r="D20"/>
      <c r="E20"/>
      <c r="F20" s="174"/>
      <c r="G20" s="174"/>
      <c r="H20" s="174"/>
      <c r="K20" s="383"/>
      <c r="L20" s="383"/>
    </row>
    <row r="21" spans="1:12" ht="15" x14ac:dyDescent="0.25">
      <c r="A21" s="382" t="s">
        <v>254</v>
      </c>
      <c r="B21" s="382" t="str">
        <f>IF(A21="*","",SUP!B69)</f>
        <v>MINBIG</v>
      </c>
      <c r="C21" s="382" t="str">
        <f>IF(A21="*","",SUP!A69)</f>
        <v>Extraction of Biogas</v>
      </c>
      <c r="D21" t="s">
        <v>241</v>
      </c>
      <c r="E21" t="s">
        <v>440</v>
      </c>
      <c r="F21" s="174" t="s">
        <v>369</v>
      </c>
      <c r="G21" s="174" t="s">
        <v>1051</v>
      </c>
      <c r="H21" s="174"/>
      <c r="K21" s="383"/>
      <c r="L21" s="383"/>
    </row>
    <row r="22" spans="1:12" ht="15" x14ac:dyDescent="0.25">
      <c r="A22" s="382" t="s">
        <v>254</v>
      </c>
      <c r="B22" s="382" t="str">
        <f>IF(A22="*","",SUP!B70)</f>
        <v>MINBIB</v>
      </c>
      <c r="C22" s="382" t="str">
        <f>IF(A22="*","",SUP!A70)</f>
        <v>Extraction of Biomass bagasse</v>
      </c>
      <c r="D22" t="s">
        <v>241</v>
      </c>
      <c r="E22" t="s">
        <v>440</v>
      </c>
      <c r="F22" s="174" t="s">
        <v>369</v>
      </c>
      <c r="G22" s="174" t="s">
        <v>1051</v>
      </c>
      <c r="H22" s="174"/>
      <c r="K22" s="383"/>
      <c r="L22" s="383"/>
    </row>
    <row r="23" spans="1:12" ht="15" x14ac:dyDescent="0.25">
      <c r="A23" s="382" t="s">
        <v>254</v>
      </c>
      <c r="B23" s="382" t="str">
        <f>IF(A23="*","",SUP!B71)</f>
        <v>MINBIO</v>
      </c>
      <c r="C23" s="382" t="str">
        <f>IF(A23="*","",SUP!A71)</f>
        <v>Extraction of Biomass Other</v>
      </c>
      <c r="D23" t="s">
        <v>241</v>
      </c>
      <c r="E23" t="s">
        <v>440</v>
      </c>
      <c r="F23" s="174" t="s">
        <v>369</v>
      </c>
      <c r="G23" s="174" t="s">
        <v>1051</v>
      </c>
      <c r="H23" s="174"/>
      <c r="K23" s="383"/>
      <c r="L23" s="383"/>
    </row>
    <row r="24" spans="1:12" ht="15" x14ac:dyDescent="0.25">
      <c r="A24" s="382" t="s">
        <v>254</v>
      </c>
      <c r="B24" s="382" t="str">
        <f>IF(A24="*","",SUP!B72)</f>
        <v>MINBIW</v>
      </c>
      <c r="C24" s="382" t="str">
        <f>IF(A24="*","",SUP!A72)</f>
        <v>Extraction of Biomass Wood</v>
      </c>
      <c r="D24" t="s">
        <v>241</v>
      </c>
      <c r="E24" t="s">
        <v>440</v>
      </c>
      <c r="F24" s="174" t="s">
        <v>369</v>
      </c>
      <c r="G24" s="174" t="s">
        <v>1051</v>
      </c>
      <c r="H24" s="174"/>
      <c r="K24" s="383"/>
      <c r="L24" s="383"/>
    </row>
    <row r="25" spans="1:12" ht="15" x14ac:dyDescent="0.25">
      <c r="A25" s="382" t="s">
        <v>254</v>
      </c>
      <c r="B25" s="382" t="str">
        <f>IF(A25="*","",SUP!B73)</f>
        <v>MINWAS</v>
      </c>
      <c r="C25" s="382" t="str">
        <f>IF(A25="*","",SUP!A73)</f>
        <v>Extraction of Waste</v>
      </c>
      <c r="D25" t="s">
        <v>241</v>
      </c>
      <c r="E25" t="s">
        <v>440</v>
      </c>
      <c r="F25" s="174" t="s">
        <v>369</v>
      </c>
      <c r="G25" s="174" t="s">
        <v>1051</v>
      </c>
      <c r="H25" s="174"/>
      <c r="K25" s="383"/>
      <c r="L25" s="383"/>
    </row>
    <row r="26" spans="1:12" ht="15" x14ac:dyDescent="0.25">
      <c r="A26" s="382" t="s">
        <v>254</v>
      </c>
      <c r="B26" s="382" t="str">
        <f>IF(A26="*","",SUP!B74)</f>
        <v>MINHYD</v>
      </c>
      <c r="C26" s="382" t="str">
        <f>IF(A26="*","",SUP!A74)</f>
        <v>Extraction of Hydro</v>
      </c>
      <c r="D26" t="s">
        <v>241</v>
      </c>
      <c r="E26" t="s">
        <v>440</v>
      </c>
      <c r="F26" s="174" t="s">
        <v>369</v>
      </c>
      <c r="G26" s="174" t="s">
        <v>1051</v>
      </c>
      <c r="H26" s="174"/>
      <c r="K26" s="383"/>
      <c r="L26" s="383"/>
    </row>
    <row r="27" spans="1:12" ht="15" x14ac:dyDescent="0.25">
      <c r="A27" s="382" t="s">
        <v>254</v>
      </c>
      <c r="B27" s="382" t="str">
        <f>IF(A27="*","",SUP!B75)</f>
        <v>MINSOL</v>
      </c>
      <c r="C27" s="382" t="str">
        <f>IF(A27="*","",SUP!A75)</f>
        <v>Extraction of Solar</v>
      </c>
      <c r="D27" t="s">
        <v>241</v>
      </c>
      <c r="E27" t="s">
        <v>440</v>
      </c>
      <c r="F27" s="174" t="s">
        <v>369</v>
      </c>
      <c r="G27" s="174" t="s">
        <v>1051</v>
      </c>
      <c r="H27" s="174"/>
      <c r="K27" s="383"/>
      <c r="L27" s="383"/>
    </row>
    <row r="28" spans="1:12" ht="15" x14ac:dyDescent="0.25">
      <c r="A28" s="382" t="s">
        <v>254</v>
      </c>
      <c r="B28" s="382" t="str">
        <f>IF(A28="*","",SUP!B76)</f>
        <v>MINWND</v>
      </c>
      <c r="C28" s="382" t="str">
        <f>IF(A28="*","",SUP!A76)</f>
        <v>Extraction of Wind</v>
      </c>
      <c r="D28" t="s">
        <v>241</v>
      </c>
      <c r="E28" t="s">
        <v>440</v>
      </c>
      <c r="F28" s="174" t="s">
        <v>369</v>
      </c>
      <c r="G28" s="174" t="s">
        <v>1051</v>
      </c>
      <c r="H28" s="174"/>
      <c r="K28" s="383"/>
      <c r="L28" s="383"/>
    </row>
    <row r="29" spans="1:12" ht="15" x14ac:dyDescent="0.25">
      <c r="A29" s="382" t="s">
        <v>356</v>
      </c>
      <c r="B29" s="293" t="s">
        <v>1178</v>
      </c>
      <c r="C29" s="382" t="str">
        <f>IF(A29="*","",SUP!A77)</f>
        <v/>
      </c>
      <c r="D29"/>
      <c r="E29"/>
      <c r="F29" s="174"/>
      <c r="G29" s="174"/>
      <c r="H29" s="174"/>
      <c r="K29" s="383"/>
      <c r="L29" s="383"/>
    </row>
    <row r="30" spans="1:12" ht="15" x14ac:dyDescent="0.25">
      <c r="A30" s="382" t="s">
        <v>254</v>
      </c>
      <c r="B30" s="382" t="str">
        <f>IF(A30="*","",SUP!B78)</f>
        <v>IMPCOK</v>
      </c>
      <c r="C30" s="382" t="str">
        <f>IF(A30="*","",SUP!A78)</f>
        <v>Imports of Coal Coking</v>
      </c>
      <c r="D30" t="s">
        <v>241</v>
      </c>
      <c r="E30" t="s">
        <v>440</v>
      </c>
      <c r="F30" s="174" t="s">
        <v>369</v>
      </c>
      <c r="G30" s="174" t="s">
        <v>318</v>
      </c>
      <c r="H30" s="174"/>
      <c r="K30" s="383"/>
      <c r="L30" s="383"/>
    </row>
    <row r="31" spans="1:12" ht="15" x14ac:dyDescent="0.25">
      <c r="A31" s="382" t="s">
        <v>254</v>
      </c>
      <c r="B31" s="382" t="str">
        <f>IF(A31="*","",SUP!B80)</f>
        <v>IMPGRL</v>
      </c>
      <c r="C31" s="382" t="str">
        <f>IF(A31="*","",SUP!A80)</f>
        <v>Imports of Gas Regional LNG</v>
      </c>
      <c r="D31" t="s">
        <v>241</v>
      </c>
      <c r="E31" t="s">
        <v>440</v>
      </c>
      <c r="F31" s="174" t="s">
        <v>369</v>
      </c>
      <c r="G31" s="174" t="s">
        <v>318</v>
      </c>
      <c r="H31" s="174"/>
      <c r="K31" s="383"/>
      <c r="L31" s="383"/>
    </row>
    <row r="32" spans="1:12" ht="15" x14ac:dyDescent="0.25">
      <c r="A32" s="382" t="s">
        <v>254</v>
      </c>
      <c r="B32" s="382" t="str">
        <f>IF(A32="*","",SUP!B81)</f>
        <v>IMPGWL</v>
      </c>
      <c r="C32" s="382" t="str">
        <f>IF(A32="*","",SUP!A81)</f>
        <v>Imports of Gas International LNG</v>
      </c>
      <c r="D32" t="s">
        <v>241</v>
      </c>
      <c r="E32" t="s">
        <v>440</v>
      </c>
      <c r="F32" s="174" t="s">
        <v>369</v>
      </c>
      <c r="G32" s="174" t="s">
        <v>318</v>
      </c>
      <c r="H32" s="174"/>
      <c r="K32" s="383"/>
      <c r="L32" s="383"/>
    </row>
    <row r="33" spans="1:12" ht="15" x14ac:dyDescent="0.25">
      <c r="A33" s="382" t="s">
        <v>254</v>
      </c>
      <c r="B33" s="382" t="str">
        <f>IF(A33="*","",SUP!B83)</f>
        <v>IMPNUC</v>
      </c>
      <c r="C33" s="382" t="str">
        <f>IF(A33="*","",SUP!A83)</f>
        <v>Imports of Nuclear</v>
      </c>
      <c r="D33" t="s">
        <v>241</v>
      </c>
      <c r="E33" t="s">
        <v>440</v>
      </c>
      <c r="F33" s="174" t="s">
        <v>369</v>
      </c>
      <c r="G33" s="174" t="s">
        <v>318</v>
      </c>
      <c r="H33" s="174"/>
      <c r="K33" s="383"/>
      <c r="L33" s="383"/>
    </row>
    <row r="34" spans="1:12" ht="15" x14ac:dyDescent="0.25">
      <c r="A34" s="382" t="s">
        <v>254</v>
      </c>
      <c r="B34" s="382" t="str">
        <f>IF(A34="*","",SUP!B84)</f>
        <v>IMPOAG</v>
      </c>
      <c r="C34" s="382" t="str">
        <f>IF(A34="*","",SUP!A84)</f>
        <v>Imports of Oil Av Gasoline</v>
      </c>
      <c r="D34" t="s">
        <v>241</v>
      </c>
      <c r="E34" t="s">
        <v>440</v>
      </c>
      <c r="F34" s="174" t="s">
        <v>369</v>
      </c>
      <c r="G34" s="174" t="s">
        <v>318</v>
      </c>
      <c r="H34" s="174"/>
      <c r="K34" s="383"/>
      <c r="L34" s="383"/>
    </row>
    <row r="35" spans="1:12" ht="15" x14ac:dyDescent="0.25">
      <c r="A35" s="382" t="s">
        <v>254</v>
      </c>
      <c r="B35" s="382" t="str">
        <f>IF(A35="*","",SUP!B85)</f>
        <v>IMPOCR</v>
      </c>
      <c r="C35" s="382" t="str">
        <f>IF(A35="*","",SUP!A85)</f>
        <v>Imports of Oil Crude</v>
      </c>
      <c r="D35" t="s">
        <v>241</v>
      </c>
      <c r="E35" t="s">
        <v>440</v>
      </c>
      <c r="F35" s="174" t="s">
        <v>369</v>
      </c>
      <c r="G35" s="174" t="s">
        <v>318</v>
      </c>
      <c r="H35" s="174"/>
      <c r="K35" s="383"/>
      <c r="L35" s="383"/>
    </row>
    <row r="36" spans="1:12" ht="15" x14ac:dyDescent="0.25">
      <c r="A36" s="382" t="s">
        <v>254</v>
      </c>
      <c r="B36" s="382" t="str">
        <f>IF(A36="*","",SUP!B86)</f>
        <v>IMPODS</v>
      </c>
      <c r="C36" s="382" t="str">
        <f>IF(A36="*","",SUP!A86)</f>
        <v>Imports of Oil Diesel</v>
      </c>
      <c r="D36" t="s">
        <v>241</v>
      </c>
      <c r="E36" t="s">
        <v>440</v>
      </c>
      <c r="F36" s="174" t="s">
        <v>369</v>
      </c>
      <c r="G36" s="174" t="s">
        <v>318</v>
      </c>
      <c r="H36" s="174"/>
      <c r="K36" s="383"/>
      <c r="L36" s="383"/>
    </row>
    <row r="37" spans="1:12" ht="15" x14ac:dyDescent="0.25">
      <c r="A37" s="382" t="s">
        <v>254</v>
      </c>
      <c r="B37" s="382" t="str">
        <f>IF(A37="*","",SUP!B87)</f>
        <v>IMPOGS</v>
      </c>
      <c r="C37" s="382" t="str">
        <f>IF(A37="*","",SUP!A87)</f>
        <v>Imports of Oil Gasoline</v>
      </c>
      <c r="D37" t="s">
        <v>241</v>
      </c>
      <c r="E37" t="s">
        <v>440</v>
      </c>
      <c r="F37" s="174" t="s">
        <v>369</v>
      </c>
      <c r="G37" s="174" t="s">
        <v>318</v>
      </c>
      <c r="H37" s="174"/>
      <c r="K37" s="383"/>
      <c r="L37" s="383"/>
    </row>
    <row r="38" spans="1:12" ht="15" x14ac:dyDescent="0.25">
      <c r="A38" s="382" t="s">
        <v>254</v>
      </c>
      <c r="B38" s="382" t="str">
        <f>IF(A38="*","",SUP!B88)</f>
        <v>IMPOHF</v>
      </c>
      <c r="C38" s="382" t="str">
        <f>IF(A38="*","",SUP!A88)</f>
        <v>Imports of Oil HFO</v>
      </c>
      <c r="D38" t="s">
        <v>241</v>
      </c>
      <c r="E38" t="s">
        <v>440</v>
      </c>
      <c r="F38" s="174" t="s">
        <v>369</v>
      </c>
      <c r="G38" s="174" t="s">
        <v>318</v>
      </c>
      <c r="H38" s="174"/>
      <c r="K38" s="383"/>
      <c r="L38" s="383"/>
    </row>
    <row r="39" spans="1:12" ht="15" x14ac:dyDescent="0.25">
      <c r="A39" s="382" t="s">
        <v>254</v>
      </c>
      <c r="B39" s="382" t="str">
        <f>IF(A39="*","",SUP!B89)</f>
        <v>IMPOLP</v>
      </c>
      <c r="C39" s="382" t="str">
        <f>IF(A39="*","",SUP!A89)</f>
        <v>Imports of Oil LPG</v>
      </c>
      <c r="D39" t="s">
        <v>241</v>
      </c>
      <c r="E39" t="s">
        <v>440</v>
      </c>
      <c r="F39" s="174" t="s">
        <v>369</v>
      </c>
      <c r="G39" s="174" t="s">
        <v>318</v>
      </c>
      <c r="H39" s="174"/>
      <c r="K39" s="383"/>
      <c r="L39" s="383"/>
    </row>
    <row r="40" spans="1:12" ht="15" x14ac:dyDescent="0.25">
      <c r="A40" s="382" t="s">
        <v>254</v>
      </c>
      <c r="B40" s="382" t="str">
        <f>IF(A40="*","",SUP!B90)</f>
        <v>IMPOKE</v>
      </c>
      <c r="C40" s="382" t="str">
        <f>IF(A40="*","",SUP!A90)</f>
        <v>Imports of Oil Kerosene</v>
      </c>
      <c r="D40" t="s">
        <v>241</v>
      </c>
      <c r="E40" t="s">
        <v>440</v>
      </c>
      <c r="F40" s="174" t="s">
        <v>369</v>
      </c>
      <c r="G40" s="174" t="s">
        <v>318</v>
      </c>
      <c r="H40" s="174"/>
      <c r="K40" s="383"/>
      <c r="L40" s="383"/>
    </row>
    <row r="41" spans="1:12" ht="15" x14ac:dyDescent="0.25">
      <c r="A41" s="382" t="s">
        <v>254</v>
      </c>
      <c r="B41" s="382" t="str">
        <f>IF(A41="*","",SUP!B91)</f>
        <v>IMPBID</v>
      </c>
      <c r="C41" s="382" t="str">
        <f>IF(A41="*","",SUP!A91)</f>
        <v>Imports of Biodiesel</v>
      </c>
      <c r="D41" t="s">
        <v>241</v>
      </c>
      <c r="E41" t="s">
        <v>440</v>
      </c>
      <c r="F41" s="174" t="s">
        <v>369</v>
      </c>
      <c r="G41" s="174" t="s">
        <v>318</v>
      </c>
      <c r="H41" s="174"/>
      <c r="K41" s="383"/>
      <c r="L41" s="383"/>
    </row>
    <row r="42" spans="1:12" ht="15" x14ac:dyDescent="0.25">
      <c r="A42" s="382" t="s">
        <v>254</v>
      </c>
      <c r="B42" s="382" t="str">
        <f>IF(A42="*","",SUP!B92)</f>
        <v>IMPBIE</v>
      </c>
      <c r="C42" s="382" t="str">
        <f>IF(A42="*","",SUP!A92)</f>
        <v>Imports of Bioethanol</v>
      </c>
      <c r="D42" t="s">
        <v>241</v>
      </c>
      <c r="E42" t="s">
        <v>440</v>
      </c>
      <c r="F42" s="174" t="s">
        <v>369</v>
      </c>
      <c r="G42" s="174" t="s">
        <v>318</v>
      </c>
      <c r="H42" s="174"/>
      <c r="K42" s="383"/>
      <c r="L42" s="383"/>
    </row>
    <row r="43" spans="1:12" ht="15" x14ac:dyDescent="0.25">
      <c r="A43" s="382" t="s">
        <v>356</v>
      </c>
      <c r="B43" s="382" t="str">
        <f>IF(A43="*","",SUP!B93)</f>
        <v/>
      </c>
      <c r="C43" s="382" t="str">
        <f>IF(A43="*","",SUP!A93)</f>
        <v/>
      </c>
      <c r="D43"/>
      <c r="E43"/>
      <c r="F43" s="174"/>
      <c r="G43" s="174"/>
      <c r="H43" s="174"/>
      <c r="K43" s="383"/>
      <c r="L43" s="383"/>
    </row>
    <row r="44" spans="1:12" ht="15" x14ac:dyDescent="0.25">
      <c r="A44" s="382" t="s">
        <v>254</v>
      </c>
      <c r="B44" s="382" t="str">
        <f>IF(A44="*","",SUP!B94)</f>
        <v>MIRGRS</v>
      </c>
      <c r="C44" s="382" t="str">
        <f>IF(A44="*","",SUP!A94)</f>
        <v>Extraction of Gas Southern Mozambique</v>
      </c>
      <c r="D44" t="s">
        <v>241</v>
      </c>
      <c r="E44" t="s">
        <v>440</v>
      </c>
      <c r="F44" s="174" t="s">
        <v>369</v>
      </c>
      <c r="G44" s="174" t="s">
        <v>1051</v>
      </c>
      <c r="H44" s="174"/>
      <c r="K44" s="383"/>
      <c r="L44" s="383"/>
    </row>
    <row r="45" spans="1:12" ht="15" x14ac:dyDescent="0.25">
      <c r="A45" s="382" t="s">
        <v>254</v>
      </c>
      <c r="B45" s="382" t="str">
        <f>IF(A45="*","",SUP!B95)</f>
        <v>MIRGRM</v>
      </c>
      <c r="C45" s="382" t="str">
        <f>IF(A45="*","",SUP!A95)</f>
        <v>Extraction of Gas Northern Mozambique</v>
      </c>
      <c r="D45" t="s">
        <v>241</v>
      </c>
      <c r="E45" t="s">
        <v>440</v>
      </c>
      <c r="F45" s="174" t="s">
        <v>369</v>
      </c>
      <c r="G45" s="174" t="s">
        <v>1051</v>
      </c>
      <c r="H45" s="174"/>
      <c r="K45" s="383"/>
      <c r="L45" s="383"/>
    </row>
    <row r="46" spans="1:12" ht="15" x14ac:dyDescent="0.25">
      <c r="A46" s="382" t="s">
        <v>356</v>
      </c>
      <c r="B46" s="293" t="s">
        <v>1179</v>
      </c>
      <c r="C46" s="382" t="str">
        <f>IF(A46="*","",SUP!A96)</f>
        <v/>
      </c>
      <c r="D46"/>
      <c r="E46"/>
      <c r="F46" s="174"/>
      <c r="G46" s="174"/>
      <c r="H46" s="174"/>
      <c r="K46" s="383"/>
      <c r="L46" s="383"/>
    </row>
    <row r="47" spans="1:12" ht="15" x14ac:dyDescent="0.25">
      <c r="A47" s="382" t="s">
        <v>254</v>
      </c>
      <c r="B47" s="382" t="str">
        <f>IF(A47="*","",SUP!B97)</f>
        <v>PEXCOA</v>
      </c>
      <c r="C47" s="382" t="str">
        <f>IF(A47="*","",SUP!A97)</f>
        <v>Exports of Coal</v>
      </c>
      <c r="D47" t="s">
        <v>241</v>
      </c>
      <c r="E47" t="s">
        <v>440</v>
      </c>
      <c r="F47" s="174" t="s">
        <v>369</v>
      </c>
      <c r="G47" s="174" t="s">
        <v>320</v>
      </c>
      <c r="H47" s="174"/>
      <c r="K47" s="383"/>
      <c r="L47" s="383"/>
    </row>
    <row r="48" spans="1:12" ht="15" x14ac:dyDescent="0.25">
      <c r="A48" s="382" t="s">
        <v>254</v>
      </c>
      <c r="B48" s="382" t="str">
        <f>IF(A48="*","",SUP!B98)</f>
        <v>PEXCOK</v>
      </c>
      <c r="C48" s="382" t="str">
        <f>IF(A48="*","",SUP!A98)</f>
        <v>Exports of Coal Coking</v>
      </c>
      <c r="D48" t="s">
        <v>241</v>
      </c>
      <c r="E48" t="s">
        <v>440</v>
      </c>
      <c r="F48" s="174" t="s">
        <v>369</v>
      </c>
      <c r="G48" s="174" t="s">
        <v>320</v>
      </c>
      <c r="H48" s="174"/>
      <c r="K48" s="383"/>
      <c r="L48" s="383"/>
    </row>
    <row r="49" spans="1:12" ht="15" x14ac:dyDescent="0.25">
      <c r="A49" s="382" t="s">
        <v>254</v>
      </c>
      <c r="B49" s="382" t="str">
        <f>IF(A49="*","",SUP!B99)</f>
        <v>PEXOAG</v>
      </c>
      <c r="C49" s="382" t="str">
        <f>IF(A49="*","",SUP!A99)</f>
        <v>Exports of Oil Av Gasoline</v>
      </c>
      <c r="D49" t="s">
        <v>241</v>
      </c>
      <c r="E49" t="s">
        <v>440</v>
      </c>
      <c r="F49" s="174" t="s">
        <v>369</v>
      </c>
      <c r="G49" s="174" t="s">
        <v>320</v>
      </c>
      <c r="H49" s="174"/>
      <c r="K49" s="383"/>
      <c r="L49" s="383"/>
    </row>
    <row r="50" spans="1:12" ht="15" x14ac:dyDescent="0.25">
      <c r="A50" s="382" t="s">
        <v>254</v>
      </c>
      <c r="B50" s="382" t="str">
        <f>IF(A50="*","",SUP!B100)</f>
        <v>PEXOCR</v>
      </c>
      <c r="C50" s="382" t="str">
        <f>IF(A50="*","",SUP!A100)</f>
        <v>Exports of Oil Crude</v>
      </c>
      <c r="D50" t="s">
        <v>241</v>
      </c>
      <c r="E50" t="s">
        <v>440</v>
      </c>
      <c r="F50" s="174" t="s">
        <v>369</v>
      </c>
      <c r="G50" s="174" t="s">
        <v>320</v>
      </c>
      <c r="H50" s="174"/>
      <c r="K50" s="383"/>
      <c r="L50" s="383"/>
    </row>
    <row r="51" spans="1:12" ht="15" x14ac:dyDescent="0.25">
      <c r="A51" s="382" t="s">
        <v>254</v>
      </c>
      <c r="B51" s="382" t="str">
        <f>IF(A51="*","",SUP!B101)</f>
        <v>PEXODS</v>
      </c>
      <c r="C51" s="382" t="str">
        <f>IF(A51="*","",SUP!A101)</f>
        <v>Exports of Oil Diesel</v>
      </c>
      <c r="D51" t="s">
        <v>241</v>
      </c>
      <c r="E51" t="s">
        <v>440</v>
      </c>
      <c r="F51" s="174" t="s">
        <v>369</v>
      </c>
      <c r="G51" s="174" t="s">
        <v>320</v>
      </c>
      <c r="H51" s="174"/>
      <c r="K51" s="383"/>
      <c r="L51" s="383"/>
    </row>
    <row r="52" spans="1:12" ht="15" x14ac:dyDescent="0.25">
      <c r="A52" s="382" t="s">
        <v>254</v>
      </c>
      <c r="B52" s="382" t="str">
        <f>IF(A52="*","",SUP!B102)</f>
        <v>PEXOGS</v>
      </c>
      <c r="C52" s="382" t="str">
        <f>IF(A52="*","",SUP!A102)</f>
        <v>Exports of Oil Gasoline</v>
      </c>
      <c r="D52" t="s">
        <v>241</v>
      </c>
      <c r="E52" t="s">
        <v>440</v>
      </c>
      <c r="F52" s="174" t="s">
        <v>369</v>
      </c>
      <c r="G52" s="174" t="s">
        <v>320</v>
      </c>
      <c r="H52" s="174"/>
      <c r="K52" s="383"/>
      <c r="L52" s="383"/>
    </row>
    <row r="53" spans="1:12" ht="15" x14ac:dyDescent="0.25">
      <c r="A53" s="382" t="s">
        <v>254</v>
      </c>
      <c r="B53" s="382" t="str">
        <f>IF(A53="*","",SUP!B103)</f>
        <v>PEXOHF</v>
      </c>
      <c r="C53" s="382" t="str">
        <f>IF(A53="*","",SUP!A103)</f>
        <v>Exports of Oil HFO</v>
      </c>
      <c r="D53" t="s">
        <v>241</v>
      </c>
      <c r="E53" t="s">
        <v>440</v>
      </c>
      <c r="F53" s="174" t="s">
        <v>369</v>
      </c>
      <c r="G53" s="174" t="s">
        <v>320</v>
      </c>
      <c r="H53" s="174"/>
      <c r="K53" s="383"/>
      <c r="L53" s="383"/>
    </row>
    <row r="54" spans="1:12" ht="15" x14ac:dyDescent="0.25">
      <c r="A54" s="382" t="s">
        <v>254</v>
      </c>
      <c r="B54" s="382" t="str">
        <f>IF(A54="*","",SUP!B104)</f>
        <v>PEXOKE</v>
      </c>
      <c r="C54" s="382" t="str">
        <f>IF(A54="*","",SUP!A104)</f>
        <v>Exports of Oil Kerosene</v>
      </c>
      <c r="D54" t="s">
        <v>241</v>
      </c>
      <c r="E54" t="s">
        <v>440</v>
      </c>
      <c r="F54" s="174" t="s">
        <v>369</v>
      </c>
      <c r="G54" s="174" t="s">
        <v>320</v>
      </c>
      <c r="H54" s="174"/>
      <c r="K54" s="383"/>
      <c r="L54" s="383"/>
    </row>
    <row r="55" spans="1:12" x14ac:dyDescent="0.2">
      <c r="A55" s="382" t="s">
        <v>356</v>
      </c>
      <c r="B55" s="293" t="s">
        <v>1180</v>
      </c>
      <c r="D55" s="383"/>
      <c r="E55" s="383"/>
    </row>
    <row r="56" spans="1:12" ht="15" x14ac:dyDescent="0.25">
      <c r="B56" s="382" t="s">
        <v>1172</v>
      </c>
      <c r="C56" s="382" t="s">
        <v>1171</v>
      </c>
      <c r="D56" t="s">
        <v>241</v>
      </c>
      <c r="E56" t="s">
        <v>440</v>
      </c>
      <c r="F56" s="174" t="s">
        <v>369</v>
      </c>
      <c r="G56" s="382" t="s">
        <v>668</v>
      </c>
    </row>
    <row r="57" spans="1:12" ht="15" x14ac:dyDescent="0.25">
      <c r="B57" s="382" t="s">
        <v>1174</v>
      </c>
      <c r="C57" s="382" t="s">
        <v>1173</v>
      </c>
      <c r="D57" t="s">
        <v>241</v>
      </c>
      <c r="E57" t="s">
        <v>440</v>
      </c>
      <c r="F57" s="174" t="s">
        <v>369</v>
      </c>
      <c r="G57" s="382" t="s">
        <v>668</v>
      </c>
    </row>
    <row r="58" spans="1:12" ht="15" x14ac:dyDescent="0.25">
      <c r="B58" s="382" t="s">
        <v>1164</v>
      </c>
      <c r="C58" s="382" t="s">
        <v>1163</v>
      </c>
      <c r="D58" t="s">
        <v>241</v>
      </c>
      <c r="E58" t="s">
        <v>440</v>
      </c>
      <c r="F58" s="174" t="s">
        <v>369</v>
      </c>
      <c r="G58" s="382" t="s">
        <v>668</v>
      </c>
    </row>
    <row r="59" spans="1:12" ht="15" x14ac:dyDescent="0.25">
      <c r="B59" s="382" t="s">
        <v>1166</v>
      </c>
      <c r="C59" s="382" t="s">
        <v>1165</v>
      </c>
      <c r="D59" t="s">
        <v>241</v>
      </c>
      <c r="E59" t="s">
        <v>440</v>
      </c>
      <c r="F59" s="174" t="s">
        <v>369</v>
      </c>
      <c r="G59" s="382" t="s">
        <v>668</v>
      </c>
    </row>
    <row r="60" spans="1:12" ht="15" x14ac:dyDescent="0.25">
      <c r="B60" s="382" t="s">
        <v>1168</v>
      </c>
      <c r="C60" s="382" t="s">
        <v>1167</v>
      </c>
      <c r="D60" t="s">
        <v>241</v>
      </c>
      <c r="E60" t="s">
        <v>440</v>
      </c>
      <c r="F60" s="174" t="s">
        <v>369</v>
      </c>
      <c r="G60" s="382" t="s">
        <v>668</v>
      </c>
    </row>
    <row r="61" spans="1:12" ht="15" x14ac:dyDescent="0.25">
      <c r="B61" s="382" t="s">
        <v>1169</v>
      </c>
      <c r="C61" s="382" t="s">
        <v>875</v>
      </c>
      <c r="D61" t="s">
        <v>241</v>
      </c>
      <c r="E61" t="s">
        <v>1027</v>
      </c>
      <c r="F61" s="403" t="s">
        <v>669</v>
      </c>
      <c r="G61" s="403" t="s">
        <v>1181</v>
      </c>
    </row>
    <row r="62" spans="1:12" ht="15" x14ac:dyDescent="0.25">
      <c r="B62" s="382" t="s">
        <v>1170</v>
      </c>
      <c r="C62" s="382" t="s">
        <v>877</v>
      </c>
      <c r="D62" t="s">
        <v>241</v>
      </c>
      <c r="E62" t="s">
        <v>1027</v>
      </c>
      <c r="F62" s="403" t="s">
        <v>669</v>
      </c>
      <c r="G62" s="403" t="s">
        <v>1181</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130"/>
  <sheetViews>
    <sheetView topLeftCell="A9" workbookViewId="0">
      <selection activeCell="B59" sqref="B59"/>
    </sheetView>
  </sheetViews>
  <sheetFormatPr defaultColWidth="11.42578125" defaultRowHeight="11.25" x14ac:dyDescent="0.2"/>
  <cols>
    <col min="1" max="1" width="12.42578125" style="382" customWidth="1"/>
    <col min="2" max="2" width="11" style="382" customWidth="1"/>
    <col min="3" max="3" width="41" style="382" customWidth="1"/>
    <col min="4" max="4" width="10.28515625" style="382" customWidth="1"/>
    <col min="5" max="5" width="28.7109375" style="382" customWidth="1"/>
    <col min="6" max="16384" width="11.42578125" style="382"/>
  </cols>
  <sheetData>
    <row r="1" spans="1:15" ht="18" thickBot="1" x14ac:dyDescent="0.35">
      <c r="A1" s="293"/>
      <c r="B1" s="169" t="s">
        <v>1142</v>
      </c>
      <c r="C1" s="169"/>
      <c r="D1" s="169"/>
      <c r="E1" s="169"/>
    </row>
    <row r="2" spans="1:15" ht="12" thickTop="1" x14ac:dyDescent="0.2"/>
    <row r="3" spans="1:15" ht="15" x14ac:dyDescent="0.25">
      <c r="B3" s="298" t="s">
        <v>651</v>
      </c>
      <c r="C3" s="298"/>
      <c r="D3" s="298"/>
      <c r="E3" s="298"/>
      <c r="F3" s="298"/>
      <c r="G3" s="298"/>
      <c r="H3" s="298"/>
    </row>
    <row r="4" spans="1:15" ht="15" x14ac:dyDescent="0.25">
      <c r="B4" s="298" t="s">
        <v>587</v>
      </c>
      <c r="C4" s="298" t="s">
        <v>659</v>
      </c>
      <c r="D4" s="298" t="s">
        <v>660</v>
      </c>
      <c r="E4" s="298" t="s">
        <v>661</v>
      </c>
      <c r="F4" s="298" t="s">
        <v>662</v>
      </c>
      <c r="G4" s="298" t="s">
        <v>1047</v>
      </c>
      <c r="H4" s="298" t="s">
        <v>1046</v>
      </c>
    </row>
    <row r="5" spans="1:15" x14ac:dyDescent="0.2">
      <c r="B5" s="382" t="s">
        <v>1045</v>
      </c>
      <c r="C5" s="382" t="s">
        <v>1044</v>
      </c>
      <c r="D5" s="383" t="s">
        <v>241</v>
      </c>
      <c r="E5" s="383" t="s">
        <v>1037</v>
      </c>
      <c r="F5" s="382" t="s">
        <v>369</v>
      </c>
    </row>
    <row r="6" spans="1:15" x14ac:dyDescent="0.2">
      <c r="B6" s="382" t="s">
        <v>1144</v>
      </c>
      <c r="D6" s="383"/>
      <c r="E6" s="383"/>
    </row>
    <row r="7" spans="1:15" x14ac:dyDescent="0.2">
      <c r="B7" s="382" t="str">
        <f>NameConv!C5</f>
        <v>BIG</v>
      </c>
      <c r="C7" s="382" t="str">
        <f>NameConv!B5</f>
        <v>Biogas</v>
      </c>
      <c r="D7" s="383" t="s">
        <v>241</v>
      </c>
      <c r="E7" s="383" t="s">
        <v>1037</v>
      </c>
      <c r="F7" s="382" t="s">
        <v>369</v>
      </c>
      <c r="K7" s="170"/>
      <c r="L7" s="170"/>
      <c r="M7" s="170"/>
      <c r="N7" s="170"/>
      <c r="O7" s="170"/>
    </row>
    <row r="8" spans="1:15" x14ac:dyDescent="0.2">
      <c r="B8" s="382" t="str">
        <f>NameConv!C6</f>
        <v>BIE</v>
      </c>
      <c r="C8" s="382" t="str">
        <f>NameConv!B6</f>
        <v>Bioethanol</v>
      </c>
      <c r="D8" s="383" t="s">
        <v>241</v>
      </c>
      <c r="E8" s="383" t="s">
        <v>1037</v>
      </c>
      <c r="F8" s="382" t="s">
        <v>369</v>
      </c>
      <c r="K8" s="170"/>
      <c r="L8" s="170"/>
      <c r="M8" s="170"/>
      <c r="N8" s="170"/>
      <c r="O8" s="170"/>
    </row>
    <row r="9" spans="1:15" x14ac:dyDescent="0.2">
      <c r="B9" s="382" t="str">
        <f>NameConv!C7</f>
        <v>BID</v>
      </c>
      <c r="C9" s="382" t="str">
        <f>NameConv!B7</f>
        <v>Biodiesel</v>
      </c>
      <c r="D9" s="383" t="s">
        <v>241</v>
      </c>
      <c r="E9" s="383" t="s">
        <v>1037</v>
      </c>
      <c r="F9" s="382" t="s">
        <v>369</v>
      </c>
      <c r="K9" s="170"/>
      <c r="L9" s="170"/>
      <c r="M9" s="170"/>
      <c r="N9" s="170"/>
      <c r="O9" s="170"/>
    </row>
    <row r="10" spans="1:15" x14ac:dyDescent="0.2">
      <c r="B10" s="382" t="str">
        <f>NameConv!C8</f>
        <v>BIB</v>
      </c>
      <c r="C10" s="382" t="str">
        <f>NameConv!B8</f>
        <v>Biomass bagasse</v>
      </c>
      <c r="D10" s="383" t="s">
        <v>241</v>
      </c>
      <c r="E10" s="383" t="s">
        <v>1037</v>
      </c>
      <c r="F10" s="382" t="s">
        <v>369</v>
      </c>
      <c r="K10" s="170"/>
      <c r="L10" s="170"/>
      <c r="M10" s="170"/>
      <c r="N10" s="170"/>
      <c r="O10" s="170"/>
    </row>
    <row r="11" spans="1:15" x14ac:dyDescent="0.2">
      <c r="B11" s="382" t="str">
        <f>NameConv!C9</f>
        <v>BIO</v>
      </c>
      <c r="C11" s="382" t="str">
        <f>NameConv!B9</f>
        <v>Biomass Other</v>
      </c>
      <c r="D11" s="383" t="s">
        <v>241</v>
      </c>
      <c r="E11" s="383" t="s">
        <v>1037</v>
      </c>
      <c r="F11" s="382" t="s">
        <v>369</v>
      </c>
      <c r="K11" s="170"/>
      <c r="L11" s="170"/>
      <c r="M11" s="170"/>
      <c r="N11" s="170"/>
      <c r="O11" s="170"/>
    </row>
    <row r="12" spans="1:15" x14ac:dyDescent="0.2">
      <c r="B12" s="382" t="str">
        <f>NameConv!C10</f>
        <v>BIW</v>
      </c>
      <c r="C12" s="382" t="str">
        <f>NameConv!B10</f>
        <v>Biomass Wood</v>
      </c>
      <c r="D12" s="383" t="s">
        <v>241</v>
      </c>
      <c r="E12" s="383" t="s">
        <v>1037</v>
      </c>
      <c r="F12" s="382" t="s">
        <v>369</v>
      </c>
      <c r="K12" s="170"/>
      <c r="L12" s="170"/>
      <c r="M12" s="170"/>
      <c r="N12" s="170"/>
      <c r="O12" s="170"/>
    </row>
    <row r="13" spans="1:15" x14ac:dyDescent="0.2">
      <c r="B13" s="382" t="str">
        <f>NameConv!C11</f>
        <v>COA</v>
      </c>
      <c r="C13" s="382" t="str">
        <f>NameConv!B11</f>
        <v>Coal</v>
      </c>
      <c r="D13" s="383" t="s">
        <v>241</v>
      </c>
      <c r="E13" s="383" t="s">
        <v>1037</v>
      </c>
      <c r="F13" s="382" t="s">
        <v>369</v>
      </c>
      <c r="K13" s="170"/>
      <c r="L13" s="170"/>
      <c r="M13" s="170"/>
      <c r="N13" s="170"/>
      <c r="O13" s="170"/>
    </row>
    <row r="14" spans="1:15" x14ac:dyDescent="0.2">
      <c r="B14" s="382" t="str">
        <f>NameConv!C12</f>
        <v>COK</v>
      </c>
      <c r="C14" s="382" t="str">
        <f>NameConv!B12</f>
        <v>Coal Coking</v>
      </c>
      <c r="D14" s="383" t="s">
        <v>241</v>
      </c>
      <c r="E14" s="383" t="s">
        <v>1037</v>
      </c>
      <c r="F14" s="382" t="s">
        <v>369</v>
      </c>
      <c r="K14" s="170"/>
      <c r="L14" s="170"/>
      <c r="M14" s="170"/>
      <c r="N14" s="170"/>
      <c r="O14" s="170"/>
    </row>
    <row r="15" spans="1:15" x14ac:dyDescent="0.2">
      <c r="B15" s="382" t="str">
        <f>NameConv!C13</f>
        <v>CLD</v>
      </c>
      <c r="C15" s="382" t="str">
        <f>NameConv!B13</f>
        <v>Coal Discard</v>
      </c>
      <c r="D15" s="383" t="s">
        <v>241</v>
      </c>
      <c r="E15" s="383" t="s">
        <v>1037</v>
      </c>
      <c r="F15" s="382" t="s">
        <v>369</v>
      </c>
      <c r="K15" s="170"/>
      <c r="L15" s="170"/>
      <c r="M15" s="170"/>
      <c r="N15" s="170"/>
      <c r="O15" s="170"/>
    </row>
    <row r="16" spans="1:15" x14ac:dyDescent="0.2">
      <c r="B16" s="382" t="str">
        <f>NameConv!C14</f>
        <v>CLE</v>
      </c>
      <c r="C16" s="382" t="str">
        <f>NameConv!B14</f>
        <v>Coal low grade</v>
      </c>
      <c r="D16" s="383" t="s">
        <v>241</v>
      </c>
      <c r="E16" s="383" t="s">
        <v>1037</v>
      </c>
      <c r="F16" s="382" t="s">
        <v>369</v>
      </c>
      <c r="K16" s="170"/>
      <c r="L16" s="170"/>
      <c r="M16" s="170"/>
      <c r="N16" s="170"/>
      <c r="O16" s="170"/>
    </row>
    <row r="17" spans="2:15" x14ac:dyDescent="0.2">
      <c r="B17" s="382" t="str">
        <f>NameConv!C15</f>
        <v>CRB</v>
      </c>
      <c r="C17" s="382" t="str">
        <f>NameConv!B15</f>
        <v>Coal for plants in Botswana</v>
      </c>
      <c r="D17" s="383" t="s">
        <v>241</v>
      </c>
      <c r="E17" s="383" t="s">
        <v>1037</v>
      </c>
      <c r="F17" s="382" t="s">
        <v>369</v>
      </c>
      <c r="K17" s="170"/>
      <c r="L17" s="170"/>
      <c r="M17" s="170"/>
      <c r="N17" s="170"/>
      <c r="O17" s="170"/>
    </row>
    <row r="18" spans="2:15" x14ac:dyDescent="0.2">
      <c r="B18" s="382" t="str">
        <f>NameConv!C16</f>
        <v>ELC</v>
      </c>
      <c r="C18" s="382" t="str">
        <f>NameConv!B16</f>
        <v>Electricity</v>
      </c>
      <c r="D18" s="383" t="s">
        <v>241</v>
      </c>
      <c r="E18" s="383" t="s">
        <v>1037</v>
      </c>
      <c r="F18" s="382" t="s">
        <v>669</v>
      </c>
      <c r="H18" s="382" t="s">
        <v>168</v>
      </c>
      <c r="K18" s="170"/>
      <c r="L18" s="170"/>
      <c r="M18" s="170"/>
      <c r="N18" s="170"/>
      <c r="O18" s="170"/>
    </row>
    <row r="19" spans="2:15" x14ac:dyDescent="0.2">
      <c r="B19" s="382" t="str">
        <f>NameConv!C17</f>
        <v>ELCC</v>
      </c>
      <c r="C19" s="382" t="str">
        <f>NameConv!B17</f>
        <v>Electricity Upstream Transmission</v>
      </c>
      <c r="D19" s="383" t="s">
        <v>241</v>
      </c>
      <c r="E19" s="383" t="s">
        <v>1037</v>
      </c>
      <c r="F19" s="382" t="s">
        <v>669</v>
      </c>
      <c r="G19" s="382" t="s">
        <v>369</v>
      </c>
      <c r="H19" s="382" t="s">
        <v>168</v>
      </c>
      <c r="K19" s="170"/>
      <c r="L19" s="170"/>
      <c r="M19" s="170"/>
      <c r="N19" s="170"/>
      <c r="O19" s="170"/>
    </row>
    <row r="20" spans="2:15" x14ac:dyDescent="0.2">
      <c r="B20" s="382" t="str">
        <f>NameConv!C18</f>
        <v>GAS</v>
      </c>
      <c r="C20" s="382" t="str">
        <f>NameConv!B18</f>
        <v>Gas South Africa</v>
      </c>
      <c r="D20" s="383" t="s">
        <v>241</v>
      </c>
      <c r="E20" s="383" t="s">
        <v>1037</v>
      </c>
      <c r="F20" s="382" t="s">
        <v>369</v>
      </c>
      <c r="K20" s="170"/>
      <c r="L20" s="170"/>
      <c r="M20" s="170"/>
      <c r="N20" s="170"/>
      <c r="O20" s="170"/>
    </row>
    <row r="21" spans="2:15" x14ac:dyDescent="0.2">
      <c r="B21" s="382" t="str">
        <f>NameConv!C19</f>
        <v>GRS</v>
      </c>
      <c r="C21" s="382" t="str">
        <f>NameConv!B19</f>
        <v>Gas Southern Mozambique</v>
      </c>
      <c r="D21" s="383" t="s">
        <v>241</v>
      </c>
      <c r="E21" s="383" t="s">
        <v>1037</v>
      </c>
      <c r="F21" s="382" t="s">
        <v>369</v>
      </c>
      <c r="K21" s="170"/>
      <c r="L21" s="170"/>
      <c r="M21" s="170"/>
      <c r="N21" s="170"/>
      <c r="O21" s="170"/>
    </row>
    <row r="22" spans="2:15" x14ac:dyDescent="0.2">
      <c r="B22" s="382" t="str">
        <f>NameConv!C20</f>
        <v>GRN</v>
      </c>
      <c r="C22" s="382" t="str">
        <f>NameConv!B20</f>
        <v>Gas Namibia</v>
      </c>
      <c r="D22" s="383" t="s">
        <v>241</v>
      </c>
      <c r="E22" s="383" t="s">
        <v>1037</v>
      </c>
      <c r="F22" s="382" t="s">
        <v>369</v>
      </c>
      <c r="K22" s="170"/>
      <c r="L22" s="170"/>
      <c r="M22" s="170"/>
      <c r="N22" s="170"/>
      <c r="O22" s="170"/>
    </row>
    <row r="23" spans="2:15" x14ac:dyDescent="0.2">
      <c r="B23" s="382" t="str">
        <f>NameConv!C21</f>
        <v>GRL</v>
      </c>
      <c r="C23" s="382" t="str">
        <f>NameConv!B21</f>
        <v>Gas Regional LNG</v>
      </c>
      <c r="D23" s="383" t="s">
        <v>241</v>
      </c>
      <c r="E23" s="383" t="s">
        <v>1037</v>
      </c>
      <c r="F23" s="382" t="s">
        <v>369</v>
      </c>
      <c r="K23" s="170"/>
      <c r="L23" s="170"/>
      <c r="M23" s="170"/>
      <c r="N23" s="170"/>
      <c r="O23" s="170"/>
    </row>
    <row r="24" spans="2:15" x14ac:dyDescent="0.2">
      <c r="B24" s="382" t="str">
        <f>NameConv!C22</f>
        <v>GWL</v>
      </c>
      <c r="C24" s="382" t="str">
        <f>NameConv!B22</f>
        <v>Gas International LNG</v>
      </c>
      <c r="D24" s="383" t="s">
        <v>241</v>
      </c>
      <c r="E24" s="383" t="s">
        <v>1037</v>
      </c>
      <c r="F24" s="382" t="s">
        <v>369</v>
      </c>
      <c r="K24" s="170"/>
      <c r="L24" s="170"/>
      <c r="M24" s="170"/>
      <c r="N24" s="170"/>
      <c r="O24" s="170"/>
    </row>
    <row r="25" spans="2:15" x14ac:dyDescent="0.2">
      <c r="B25" s="382" t="str">
        <f>NameConv!C23</f>
        <v>GRM</v>
      </c>
      <c r="C25" s="382" t="str">
        <f>NameConv!B23</f>
        <v>Gas Northern Mozambique</v>
      </c>
      <c r="D25" s="383" t="s">
        <v>241</v>
      </c>
      <c r="E25" s="383" t="s">
        <v>1037</v>
      </c>
      <c r="F25" s="382" t="s">
        <v>369</v>
      </c>
      <c r="K25" s="170"/>
      <c r="L25" s="170"/>
      <c r="M25" s="170"/>
      <c r="N25" s="170"/>
      <c r="O25" s="170"/>
    </row>
    <row r="26" spans="2:15" x14ac:dyDescent="0.2">
      <c r="B26" s="382" t="str">
        <f>NameConv!C24</f>
        <v>GIB</v>
      </c>
      <c r="C26" s="382" t="str">
        <f>NameConv!B24</f>
        <v>Gas Indigenous Ibhubezi</v>
      </c>
      <c r="D26" s="383" t="s">
        <v>241</v>
      </c>
      <c r="E26" s="383" t="s">
        <v>1037</v>
      </c>
      <c r="F26" s="382" t="s">
        <v>369</v>
      </c>
      <c r="K26" s="170"/>
      <c r="L26" s="170"/>
      <c r="M26" s="170"/>
      <c r="N26" s="170"/>
      <c r="O26" s="170"/>
    </row>
    <row r="27" spans="2:15" x14ac:dyDescent="0.2">
      <c r="B27" s="382" t="str">
        <f>NameConv!C25</f>
        <v>GIH</v>
      </c>
      <c r="C27" s="382" t="str">
        <f>NameConv!B25</f>
        <v>Gas Indigenous Shale</v>
      </c>
      <c r="D27" s="383" t="s">
        <v>241</v>
      </c>
      <c r="E27" s="383" t="s">
        <v>1037</v>
      </c>
      <c r="F27" s="382" t="s">
        <v>369</v>
      </c>
      <c r="K27" s="170"/>
      <c r="L27" s="170"/>
      <c r="M27" s="170"/>
      <c r="N27" s="170"/>
      <c r="O27" s="170"/>
    </row>
    <row r="28" spans="2:15" x14ac:dyDescent="0.2">
      <c r="B28" s="382" t="str">
        <f>NameConv!C26</f>
        <v>GIC</v>
      </c>
      <c r="C28" s="382" t="str">
        <f>NameConv!B26</f>
        <v>Coastal Gas</v>
      </c>
      <c r="D28" s="383" t="s">
        <v>241</v>
      </c>
      <c r="E28" s="383" t="s">
        <v>1037</v>
      </c>
      <c r="F28" s="382" t="s">
        <v>369</v>
      </c>
      <c r="K28" s="170"/>
      <c r="L28" s="170"/>
      <c r="M28" s="170"/>
      <c r="N28" s="170"/>
      <c r="O28" s="170"/>
    </row>
    <row r="29" spans="2:15" x14ac:dyDescent="0.2">
      <c r="B29" s="382" t="str">
        <f>NameConv!C27</f>
        <v>GIM</v>
      </c>
      <c r="C29" s="382" t="str">
        <f>NameConv!B27</f>
        <v>Gas Methane Rich</v>
      </c>
      <c r="D29" s="383" t="s">
        <v>241</v>
      </c>
      <c r="E29" s="383" t="s">
        <v>1037</v>
      </c>
      <c r="F29" s="382" t="s">
        <v>369</v>
      </c>
      <c r="K29" s="170"/>
      <c r="L29" s="170"/>
      <c r="M29" s="170"/>
      <c r="N29" s="170"/>
      <c r="O29" s="170"/>
    </row>
    <row r="30" spans="2:15" x14ac:dyDescent="0.2">
      <c r="B30" s="382" t="str">
        <f>NameConv!C28</f>
        <v>HET</v>
      </c>
      <c r="C30" s="382" t="str">
        <f>NameConv!B28</f>
        <v>Heat-Steam</v>
      </c>
      <c r="D30" s="383" t="s">
        <v>241</v>
      </c>
      <c r="E30" s="383" t="s">
        <v>1037</v>
      </c>
      <c r="F30" s="382" t="s">
        <v>369</v>
      </c>
      <c r="K30" s="170"/>
      <c r="L30" s="170"/>
      <c r="M30" s="170"/>
      <c r="N30" s="170"/>
      <c r="O30" s="170"/>
    </row>
    <row r="31" spans="2:15" x14ac:dyDescent="0.2">
      <c r="B31" s="382" t="str">
        <f>NameConv!C29</f>
        <v>HEE</v>
      </c>
      <c r="C31" s="382" t="str">
        <f>NameConv!B29</f>
        <v>Heat-Steam Existing</v>
      </c>
      <c r="D31" s="383" t="s">
        <v>241</v>
      </c>
      <c r="E31" s="383" t="s">
        <v>1037</v>
      </c>
      <c r="F31" s="382" t="s">
        <v>369</v>
      </c>
      <c r="K31" s="170"/>
      <c r="L31" s="170"/>
      <c r="M31" s="170"/>
      <c r="N31" s="170"/>
      <c r="O31" s="170"/>
    </row>
    <row r="32" spans="2:15" x14ac:dyDescent="0.2">
      <c r="B32" s="382" t="str">
        <f>NameConv!C30</f>
        <v>HEN</v>
      </c>
      <c r="C32" s="382" t="str">
        <f>NameConv!B30</f>
        <v>Heat-Steam New</v>
      </c>
      <c r="D32" s="383" t="s">
        <v>241</v>
      </c>
      <c r="E32" s="383" t="s">
        <v>1037</v>
      </c>
      <c r="F32" s="382" t="s">
        <v>369</v>
      </c>
      <c r="K32" s="170"/>
      <c r="L32" s="170"/>
      <c r="M32" s="170"/>
      <c r="N32" s="170"/>
      <c r="O32" s="170"/>
    </row>
    <row r="33" spans="2:15" x14ac:dyDescent="0.2">
      <c r="B33" s="382" t="str">
        <f>NameConv!C31</f>
        <v>HYD</v>
      </c>
      <c r="C33" s="382" t="str">
        <f>NameConv!B31</f>
        <v>Hydro</v>
      </c>
      <c r="D33" s="383" t="s">
        <v>241</v>
      </c>
      <c r="E33" s="383" t="s">
        <v>1037</v>
      </c>
      <c r="F33" s="382" t="s">
        <v>369</v>
      </c>
      <c r="K33" s="170"/>
      <c r="L33" s="170"/>
      <c r="M33" s="170"/>
      <c r="N33" s="170"/>
      <c r="O33" s="170"/>
    </row>
    <row r="34" spans="2:15" x14ac:dyDescent="0.2">
      <c r="B34" s="382" t="str">
        <f>NameConv!C32</f>
        <v>HGN</v>
      </c>
      <c r="C34" s="382" t="str">
        <f>NameConv!B32</f>
        <v>Hydrogen</v>
      </c>
      <c r="D34" s="383" t="s">
        <v>241</v>
      </c>
      <c r="E34" s="383" t="s">
        <v>1037</v>
      </c>
      <c r="F34" s="382" t="s">
        <v>369</v>
      </c>
      <c r="K34" s="170"/>
      <c r="L34" s="170"/>
      <c r="M34" s="170"/>
      <c r="N34" s="170"/>
      <c r="O34" s="170"/>
    </row>
    <row r="35" spans="2:15" x14ac:dyDescent="0.2">
      <c r="B35" s="382" t="str">
        <f>NameConv!C33</f>
        <v>NUC</v>
      </c>
      <c r="C35" s="382" t="str">
        <f>NameConv!B33</f>
        <v>Nuclear</v>
      </c>
      <c r="D35" s="383" t="s">
        <v>241</v>
      </c>
      <c r="E35" s="383" t="s">
        <v>1037</v>
      </c>
      <c r="F35" s="382" t="s">
        <v>369</v>
      </c>
      <c r="K35" s="170"/>
      <c r="L35" s="170"/>
      <c r="M35" s="170"/>
      <c r="N35" s="170"/>
      <c r="O35" s="170"/>
    </row>
    <row r="36" spans="2:15" x14ac:dyDescent="0.2">
      <c r="B36" s="382" t="str">
        <f>NameConv!C34</f>
        <v>OAG</v>
      </c>
      <c r="C36" s="382" t="str">
        <f>NameConv!B34</f>
        <v>Oil Av Gasoline</v>
      </c>
      <c r="D36" s="383" t="s">
        <v>241</v>
      </c>
      <c r="E36" s="383" t="s">
        <v>1037</v>
      </c>
      <c r="F36" s="382" t="s">
        <v>369</v>
      </c>
      <c r="K36" s="170"/>
      <c r="L36" s="170"/>
      <c r="M36" s="170"/>
      <c r="N36" s="170"/>
      <c r="O36" s="170"/>
    </row>
    <row r="37" spans="2:15" x14ac:dyDescent="0.2">
      <c r="B37" s="382" t="str">
        <f>NameConv!C35</f>
        <v>OCR</v>
      </c>
      <c r="C37" s="382" t="str">
        <f>NameConv!B35</f>
        <v>Oil Crude</v>
      </c>
      <c r="D37" s="383" t="s">
        <v>241</v>
      </c>
      <c r="E37" s="383" t="s">
        <v>1037</v>
      </c>
      <c r="F37" s="382" t="s">
        <v>369</v>
      </c>
      <c r="K37" s="170"/>
      <c r="L37" s="170"/>
      <c r="M37" s="170"/>
      <c r="N37" s="170"/>
      <c r="O37" s="170"/>
    </row>
    <row r="38" spans="2:15" x14ac:dyDescent="0.2">
      <c r="B38" s="382" t="str">
        <f>NameConv!C36</f>
        <v>ODS</v>
      </c>
      <c r="C38" s="382" t="str">
        <f>NameConv!B36</f>
        <v>Oil Diesel</v>
      </c>
      <c r="D38" s="383" t="s">
        <v>241</v>
      </c>
      <c r="E38" s="383" t="s">
        <v>1037</v>
      </c>
      <c r="F38" s="382" t="s">
        <v>369</v>
      </c>
      <c r="K38" s="170"/>
      <c r="L38" s="170"/>
      <c r="M38" s="170"/>
      <c r="N38" s="170"/>
      <c r="O38" s="170"/>
    </row>
    <row r="39" spans="2:15" x14ac:dyDescent="0.2">
      <c r="B39" s="382" t="str">
        <f>NameConv!C37</f>
        <v>OGS</v>
      </c>
      <c r="C39" s="382" t="str">
        <f>NameConv!B37</f>
        <v>Oil Gasoline</v>
      </c>
      <c r="D39" s="383" t="s">
        <v>241</v>
      </c>
      <c r="E39" s="383" t="s">
        <v>1037</v>
      </c>
      <c r="F39" s="382" t="s">
        <v>369</v>
      </c>
      <c r="K39" s="170"/>
      <c r="L39" s="170"/>
      <c r="M39" s="170"/>
      <c r="N39" s="170"/>
      <c r="O39" s="170"/>
    </row>
    <row r="40" spans="2:15" x14ac:dyDescent="0.2">
      <c r="B40" s="382" t="str">
        <f>NameConv!C38</f>
        <v>OHF</v>
      </c>
      <c r="C40" s="382" t="str">
        <f>NameConv!B38</f>
        <v>Oil HFO</v>
      </c>
      <c r="D40" s="383" t="s">
        <v>241</v>
      </c>
      <c r="E40" s="383" t="s">
        <v>1037</v>
      </c>
      <c r="F40" s="382" t="s">
        <v>369</v>
      </c>
      <c r="K40" s="170"/>
      <c r="L40" s="170"/>
      <c r="M40" s="170"/>
      <c r="N40" s="170"/>
      <c r="O40" s="170"/>
    </row>
    <row r="41" spans="2:15" x14ac:dyDescent="0.2">
      <c r="B41" s="382" t="str">
        <f>NameConv!C39</f>
        <v>OKE</v>
      </c>
      <c r="C41" s="382" t="str">
        <f>NameConv!B39</f>
        <v>Oil Kerosene</v>
      </c>
      <c r="D41" s="383" t="s">
        <v>241</v>
      </c>
      <c r="E41" s="383" t="s">
        <v>1037</v>
      </c>
      <c r="F41" s="382" t="s">
        <v>369</v>
      </c>
      <c r="K41" s="170"/>
      <c r="L41" s="170"/>
      <c r="M41" s="170"/>
      <c r="N41" s="170"/>
      <c r="O41" s="170"/>
    </row>
    <row r="42" spans="2:15" x14ac:dyDescent="0.2">
      <c r="B42" s="382" t="str">
        <f>NameConv!C40</f>
        <v>OLP</v>
      </c>
      <c r="C42" s="382" t="str">
        <f>NameConv!B40</f>
        <v>Oil LPG</v>
      </c>
      <c r="D42" s="383" t="s">
        <v>241</v>
      </c>
      <c r="E42" s="383" t="s">
        <v>1037</v>
      </c>
      <c r="F42" s="382" t="s">
        <v>369</v>
      </c>
      <c r="K42" s="170"/>
      <c r="L42" s="170"/>
      <c r="M42" s="170"/>
      <c r="N42" s="170"/>
      <c r="O42" s="170"/>
    </row>
    <row r="43" spans="2:15" x14ac:dyDescent="0.2">
      <c r="B43" s="382" t="str">
        <f>NameConv!C41</f>
        <v>OTH</v>
      </c>
      <c r="C43" s="382" t="str">
        <f>NameConv!B41</f>
        <v>Oil Other</v>
      </c>
      <c r="D43" s="383" t="s">
        <v>241</v>
      </c>
      <c r="E43" s="383" t="s">
        <v>1037</v>
      </c>
      <c r="F43" s="382" t="s">
        <v>369</v>
      </c>
      <c r="K43" s="170"/>
      <c r="L43" s="170"/>
      <c r="M43" s="170"/>
      <c r="N43" s="170"/>
      <c r="O43" s="170"/>
    </row>
    <row r="44" spans="2:15" x14ac:dyDescent="0.2">
      <c r="B44" s="382" t="str">
        <f>NameConv!C42</f>
        <v>SOL</v>
      </c>
      <c r="C44" s="382" t="str">
        <f>NameConv!B42</f>
        <v>Solar</v>
      </c>
      <c r="D44" s="383" t="s">
        <v>241</v>
      </c>
      <c r="E44" s="383" t="s">
        <v>1037</v>
      </c>
      <c r="F44" s="382" t="s">
        <v>369</v>
      </c>
      <c r="K44" s="170"/>
      <c r="L44" s="170"/>
      <c r="M44" s="170"/>
      <c r="N44" s="170"/>
      <c r="O44" s="170"/>
    </row>
    <row r="45" spans="2:15" x14ac:dyDescent="0.2">
      <c r="B45" s="382" t="str">
        <f>NameConv!C43</f>
        <v>WND</v>
      </c>
      <c r="C45" s="382" t="str">
        <f>NameConv!B43</f>
        <v>Wind</v>
      </c>
      <c r="D45" s="383" t="s">
        <v>241</v>
      </c>
      <c r="E45" s="383" t="s">
        <v>1037</v>
      </c>
      <c r="F45" s="382" t="s">
        <v>369</v>
      </c>
      <c r="K45" s="170"/>
      <c r="L45" s="170"/>
      <c r="M45" s="170"/>
      <c r="N45" s="170"/>
      <c r="O45" s="170"/>
    </row>
    <row r="46" spans="2:15" x14ac:dyDescent="0.2">
      <c r="B46" s="382" t="str">
        <f>NameConv!C44</f>
        <v>WAS</v>
      </c>
      <c r="C46" s="382" t="str">
        <f>NameConv!B44</f>
        <v>Waste</v>
      </c>
      <c r="D46" s="383" t="s">
        <v>241</v>
      </c>
      <c r="E46" s="383" t="s">
        <v>1037</v>
      </c>
      <c r="F46" s="382" t="s">
        <v>369</v>
      </c>
      <c r="K46" s="170"/>
      <c r="L46" s="170"/>
      <c r="M46" s="170"/>
      <c r="N46" s="170"/>
      <c r="O46" s="170"/>
    </row>
    <row r="47" spans="2:15" x14ac:dyDescent="0.2">
      <c r="B47" s="382" t="s">
        <v>1043</v>
      </c>
      <c r="C47" s="382" t="s">
        <v>1042</v>
      </c>
      <c r="D47" s="383" t="s">
        <v>1041</v>
      </c>
      <c r="E47" s="383" t="s">
        <v>1040</v>
      </c>
      <c r="F47" s="382" t="s">
        <v>369</v>
      </c>
    </row>
    <row r="48" spans="2:15" x14ac:dyDescent="0.2">
      <c r="B48" s="382" t="s">
        <v>1039</v>
      </c>
      <c r="C48" s="382" t="s">
        <v>1038</v>
      </c>
      <c r="D48" s="383" t="s">
        <v>241</v>
      </c>
      <c r="E48" s="383" t="s">
        <v>1037</v>
      </c>
      <c r="F48" s="382" t="s">
        <v>369</v>
      </c>
    </row>
    <row r="49" spans="2:6" x14ac:dyDescent="0.2">
      <c r="B49" s="382" t="s">
        <v>1139</v>
      </c>
    </row>
    <row r="50" spans="2:6" x14ac:dyDescent="0.2">
      <c r="B50" s="382" t="s">
        <v>590</v>
      </c>
      <c r="C50" s="382" t="s">
        <v>1145</v>
      </c>
      <c r="D50" s="383" t="s">
        <v>1041</v>
      </c>
      <c r="E50" s="383" t="s">
        <v>1040</v>
      </c>
      <c r="F50" s="382" t="s">
        <v>369</v>
      </c>
    </row>
    <row r="51" spans="2:6" x14ac:dyDescent="0.2">
      <c r="B51" s="382" t="s">
        <v>137</v>
      </c>
      <c r="C51" s="382" t="s">
        <v>1146</v>
      </c>
      <c r="D51" s="383" t="s">
        <v>1041</v>
      </c>
      <c r="E51" s="383" t="s">
        <v>1040</v>
      </c>
      <c r="F51" s="382" t="s">
        <v>369</v>
      </c>
    </row>
    <row r="52" spans="2:6" x14ac:dyDescent="0.2">
      <c r="B52" s="382" t="s">
        <v>138</v>
      </c>
      <c r="C52" s="382" t="s">
        <v>1147</v>
      </c>
      <c r="D52" s="383" t="s">
        <v>1041</v>
      </c>
      <c r="E52" s="383" t="s">
        <v>1040</v>
      </c>
      <c r="F52" s="382" t="s">
        <v>369</v>
      </c>
    </row>
    <row r="53" spans="2:6" x14ac:dyDescent="0.2">
      <c r="B53" s="382" t="s">
        <v>139</v>
      </c>
      <c r="C53" s="382" t="s">
        <v>1148</v>
      </c>
      <c r="D53" s="383" t="s">
        <v>1041</v>
      </c>
      <c r="E53" s="383" t="s">
        <v>1040</v>
      </c>
      <c r="F53" s="382" t="s">
        <v>369</v>
      </c>
    </row>
    <row r="54" spans="2:6" x14ac:dyDescent="0.2">
      <c r="B54" s="382" t="s">
        <v>140</v>
      </c>
      <c r="C54" s="382" t="s">
        <v>1149</v>
      </c>
      <c r="D54" s="383" t="s">
        <v>1041</v>
      </c>
      <c r="E54" s="383" t="s">
        <v>1040</v>
      </c>
      <c r="F54" s="382" t="s">
        <v>369</v>
      </c>
    </row>
    <row r="55" spans="2:6" x14ac:dyDescent="0.2">
      <c r="B55" s="382" t="s">
        <v>141</v>
      </c>
      <c r="C55" s="382" t="s">
        <v>1150</v>
      </c>
      <c r="D55" s="383" t="s">
        <v>1041</v>
      </c>
      <c r="E55" s="383" t="s">
        <v>1040</v>
      </c>
      <c r="F55" s="382" t="s">
        <v>369</v>
      </c>
    </row>
    <row r="56" spans="2:6" x14ac:dyDescent="0.2">
      <c r="B56" s="382" t="s">
        <v>142</v>
      </c>
      <c r="C56" s="382" t="s">
        <v>1151</v>
      </c>
      <c r="D56" s="383" t="s">
        <v>1041</v>
      </c>
      <c r="E56" s="383" t="s">
        <v>1040</v>
      </c>
      <c r="F56" s="382" t="s">
        <v>369</v>
      </c>
    </row>
    <row r="57" spans="2:6" x14ac:dyDescent="0.2">
      <c r="B57" s="382" t="s">
        <v>143</v>
      </c>
      <c r="C57" s="382" t="s">
        <v>1152</v>
      </c>
      <c r="D57" s="383" t="s">
        <v>1041</v>
      </c>
      <c r="E57" s="383" t="s">
        <v>1040</v>
      </c>
      <c r="F57" s="382" t="s">
        <v>369</v>
      </c>
    </row>
    <row r="58" spans="2:6" x14ac:dyDescent="0.2">
      <c r="B58" s="382" t="s">
        <v>1153</v>
      </c>
    </row>
    <row r="59" spans="2:6" x14ac:dyDescent="0.2">
      <c r="B59" s="382" t="s">
        <v>613</v>
      </c>
      <c r="C59" s="382" t="s">
        <v>1134</v>
      </c>
      <c r="D59" s="383" t="s">
        <v>1041</v>
      </c>
      <c r="E59" s="383" t="s">
        <v>1040</v>
      </c>
      <c r="F59" s="382" t="s">
        <v>369</v>
      </c>
    </row>
    <row r="60" spans="2:6" x14ac:dyDescent="0.2">
      <c r="B60" s="382" t="s">
        <v>601</v>
      </c>
      <c r="C60" s="382" t="s">
        <v>1134</v>
      </c>
      <c r="D60" s="383" t="s">
        <v>1041</v>
      </c>
      <c r="E60" s="383" t="s">
        <v>1040</v>
      </c>
      <c r="F60" s="382" t="s">
        <v>369</v>
      </c>
    </row>
    <row r="61" spans="2:6" x14ac:dyDescent="0.2">
      <c r="B61" s="382" t="s">
        <v>1140</v>
      </c>
      <c r="D61" s="383"/>
      <c r="E61" s="383"/>
    </row>
    <row r="62" spans="2:6" x14ac:dyDescent="0.2">
      <c r="B62" s="382" t="s">
        <v>602</v>
      </c>
      <c r="C62" s="382" t="s">
        <v>1135</v>
      </c>
      <c r="D62" s="383" t="s">
        <v>1041</v>
      </c>
      <c r="E62" s="383" t="s">
        <v>1040</v>
      </c>
      <c r="F62" s="382" t="s">
        <v>369</v>
      </c>
    </row>
    <row r="63" spans="2:6" x14ac:dyDescent="0.2">
      <c r="B63" s="382" t="s">
        <v>603</v>
      </c>
      <c r="C63" s="382" t="s">
        <v>1136</v>
      </c>
      <c r="D63" s="383" t="s">
        <v>1041</v>
      </c>
      <c r="E63" s="383" t="s">
        <v>1040</v>
      </c>
      <c r="F63" s="382" t="s">
        <v>369</v>
      </c>
    </row>
    <row r="64" spans="2:6" x14ac:dyDescent="0.2">
      <c r="B64" s="382" t="s">
        <v>604</v>
      </c>
      <c r="C64" s="382" t="s">
        <v>1137</v>
      </c>
      <c r="D64" s="383" t="s">
        <v>1041</v>
      </c>
      <c r="E64" s="383" t="s">
        <v>1040</v>
      </c>
      <c r="F64" s="382" t="s">
        <v>369</v>
      </c>
    </row>
    <row r="65" spans="2:6" x14ac:dyDescent="0.2">
      <c r="B65" s="382" t="s">
        <v>605</v>
      </c>
      <c r="C65" s="382" t="s">
        <v>1138</v>
      </c>
      <c r="D65" s="383" t="s">
        <v>1041</v>
      </c>
      <c r="E65" s="383" t="s">
        <v>1040</v>
      </c>
      <c r="F65" s="382" t="s">
        <v>369</v>
      </c>
    </row>
    <row r="66" spans="2:6" x14ac:dyDescent="0.2">
      <c r="B66" s="382" t="s">
        <v>1141</v>
      </c>
    </row>
    <row r="67" spans="2:6" x14ac:dyDescent="0.2">
      <c r="B67" s="382" t="s">
        <v>594</v>
      </c>
      <c r="C67" s="382" t="s">
        <v>1055</v>
      </c>
      <c r="D67" s="383" t="s">
        <v>1041</v>
      </c>
      <c r="E67" s="383" t="s">
        <v>1040</v>
      </c>
      <c r="F67" s="382" t="s">
        <v>369</v>
      </c>
    </row>
    <row r="68" spans="2:6" x14ac:dyDescent="0.2">
      <c r="B68" s="382" t="s">
        <v>606</v>
      </c>
      <c r="C68" s="382" t="s">
        <v>1056</v>
      </c>
      <c r="D68" s="383" t="s">
        <v>1041</v>
      </c>
      <c r="E68" s="383" t="s">
        <v>1040</v>
      </c>
      <c r="F68" s="382" t="s">
        <v>369</v>
      </c>
    </row>
    <row r="69" spans="2:6" x14ac:dyDescent="0.2">
      <c r="B69" s="382" t="s">
        <v>614</v>
      </c>
      <c r="C69" s="382" t="s">
        <v>1057</v>
      </c>
      <c r="D69" s="383" t="s">
        <v>1041</v>
      </c>
      <c r="E69" s="383" t="s">
        <v>1040</v>
      </c>
      <c r="F69" s="382" t="s">
        <v>369</v>
      </c>
    </row>
    <row r="70" spans="2:6" x14ac:dyDescent="0.2">
      <c r="B70" s="382" t="s">
        <v>621</v>
      </c>
      <c r="C70" s="382" t="s">
        <v>1058</v>
      </c>
      <c r="D70" s="383" t="s">
        <v>1041</v>
      </c>
      <c r="E70" s="383" t="s">
        <v>1040</v>
      </c>
      <c r="F70" s="382" t="s">
        <v>369</v>
      </c>
    </row>
    <row r="71" spans="2:6" x14ac:dyDescent="0.2">
      <c r="B71" s="382" t="s">
        <v>628</v>
      </c>
      <c r="C71" s="382" t="s">
        <v>1059</v>
      </c>
      <c r="D71" s="383" t="s">
        <v>1041</v>
      </c>
      <c r="E71" s="383" t="s">
        <v>1040</v>
      </c>
      <c r="F71" s="382" t="s">
        <v>369</v>
      </c>
    </row>
    <row r="72" spans="2:6" x14ac:dyDescent="0.2">
      <c r="B72" s="382" t="s">
        <v>635</v>
      </c>
      <c r="C72" s="382" t="s">
        <v>1060</v>
      </c>
      <c r="D72" s="383" t="s">
        <v>1041</v>
      </c>
      <c r="E72" s="383" t="s">
        <v>1040</v>
      </c>
      <c r="F72" s="382" t="s">
        <v>369</v>
      </c>
    </row>
    <row r="73" spans="2:6" x14ac:dyDescent="0.2">
      <c r="B73" s="382" t="s">
        <v>642</v>
      </c>
      <c r="C73" s="382" t="s">
        <v>1061</v>
      </c>
      <c r="D73" s="383" t="s">
        <v>1041</v>
      </c>
      <c r="E73" s="383" t="s">
        <v>1040</v>
      </c>
      <c r="F73" s="382" t="s">
        <v>369</v>
      </c>
    </row>
    <row r="74" spans="2:6" x14ac:dyDescent="0.2">
      <c r="B74" s="382" t="s">
        <v>1062</v>
      </c>
      <c r="C74" s="382" t="s">
        <v>1063</v>
      </c>
      <c r="D74" s="383" t="s">
        <v>1041</v>
      </c>
      <c r="E74" s="383" t="s">
        <v>1040</v>
      </c>
      <c r="F74" s="382" t="s">
        <v>369</v>
      </c>
    </row>
    <row r="75" spans="2:6" x14ac:dyDescent="0.2">
      <c r="B75" s="382" t="s">
        <v>595</v>
      </c>
      <c r="C75" s="382" t="s">
        <v>1064</v>
      </c>
      <c r="D75" s="383" t="s">
        <v>1041</v>
      </c>
      <c r="E75" s="383" t="s">
        <v>1040</v>
      </c>
      <c r="F75" s="382" t="s">
        <v>369</v>
      </c>
    </row>
    <row r="76" spans="2:6" x14ac:dyDescent="0.2">
      <c r="B76" s="382" t="s">
        <v>607</v>
      </c>
      <c r="C76" s="382" t="s">
        <v>1065</v>
      </c>
      <c r="D76" s="383" t="s">
        <v>1041</v>
      </c>
      <c r="E76" s="383" t="s">
        <v>1040</v>
      </c>
      <c r="F76" s="382" t="s">
        <v>369</v>
      </c>
    </row>
    <row r="77" spans="2:6" x14ac:dyDescent="0.2">
      <c r="B77" s="382" t="s">
        <v>615</v>
      </c>
      <c r="C77" s="382" t="s">
        <v>1066</v>
      </c>
      <c r="D77" s="383" t="s">
        <v>1041</v>
      </c>
      <c r="E77" s="383" t="s">
        <v>1040</v>
      </c>
      <c r="F77" s="382" t="s">
        <v>369</v>
      </c>
    </row>
    <row r="78" spans="2:6" x14ac:dyDescent="0.2">
      <c r="B78" s="382" t="s">
        <v>622</v>
      </c>
      <c r="C78" s="382" t="s">
        <v>1067</v>
      </c>
      <c r="D78" s="383" t="s">
        <v>1041</v>
      </c>
      <c r="E78" s="383" t="s">
        <v>1040</v>
      </c>
      <c r="F78" s="382" t="s">
        <v>369</v>
      </c>
    </row>
    <row r="79" spans="2:6" x14ac:dyDescent="0.2">
      <c r="B79" s="382" t="s">
        <v>629</v>
      </c>
      <c r="C79" s="382" t="s">
        <v>1068</v>
      </c>
      <c r="D79" s="383" t="s">
        <v>1041</v>
      </c>
      <c r="E79" s="383" t="s">
        <v>1040</v>
      </c>
      <c r="F79" s="382" t="s">
        <v>369</v>
      </c>
    </row>
    <row r="80" spans="2:6" x14ac:dyDescent="0.2">
      <c r="B80" s="382" t="s">
        <v>636</v>
      </c>
      <c r="C80" s="382" t="s">
        <v>1069</v>
      </c>
      <c r="D80" s="383" t="s">
        <v>1041</v>
      </c>
      <c r="E80" s="383" t="s">
        <v>1040</v>
      </c>
      <c r="F80" s="382" t="s">
        <v>369</v>
      </c>
    </row>
    <row r="81" spans="2:6" x14ac:dyDescent="0.2">
      <c r="B81" s="382" t="s">
        <v>643</v>
      </c>
      <c r="C81" s="382" t="s">
        <v>1070</v>
      </c>
      <c r="D81" s="383" t="s">
        <v>1041</v>
      </c>
      <c r="E81" s="383" t="s">
        <v>1040</v>
      </c>
      <c r="F81" s="382" t="s">
        <v>369</v>
      </c>
    </row>
    <row r="82" spans="2:6" x14ac:dyDescent="0.2">
      <c r="B82" s="382" t="s">
        <v>1071</v>
      </c>
      <c r="C82" s="382" t="s">
        <v>1072</v>
      </c>
      <c r="D82" s="383" t="s">
        <v>1041</v>
      </c>
      <c r="E82" s="383" t="s">
        <v>1040</v>
      </c>
      <c r="F82" s="382" t="s">
        <v>369</v>
      </c>
    </row>
    <row r="83" spans="2:6" x14ac:dyDescent="0.2">
      <c r="B83" s="382" t="s">
        <v>596</v>
      </c>
      <c r="C83" s="382" t="s">
        <v>1073</v>
      </c>
      <c r="D83" s="383" t="s">
        <v>1041</v>
      </c>
      <c r="E83" s="383" t="s">
        <v>1040</v>
      </c>
      <c r="F83" s="382" t="s">
        <v>369</v>
      </c>
    </row>
    <row r="84" spans="2:6" x14ac:dyDescent="0.2">
      <c r="B84" s="382" t="s">
        <v>608</v>
      </c>
      <c r="C84" s="382" t="s">
        <v>1074</v>
      </c>
      <c r="D84" s="383" t="s">
        <v>1041</v>
      </c>
      <c r="E84" s="383" t="s">
        <v>1040</v>
      </c>
      <c r="F84" s="382" t="s">
        <v>369</v>
      </c>
    </row>
    <row r="85" spans="2:6" x14ac:dyDescent="0.2">
      <c r="B85" s="382" t="s">
        <v>616</v>
      </c>
      <c r="C85" s="382" t="s">
        <v>1075</v>
      </c>
      <c r="D85" s="383" t="s">
        <v>1041</v>
      </c>
      <c r="E85" s="383" t="s">
        <v>1040</v>
      </c>
      <c r="F85" s="382" t="s">
        <v>369</v>
      </c>
    </row>
    <row r="86" spans="2:6" x14ac:dyDescent="0.2">
      <c r="B86" s="382" t="s">
        <v>623</v>
      </c>
      <c r="C86" s="382" t="s">
        <v>1076</v>
      </c>
      <c r="D86" s="383" t="s">
        <v>1041</v>
      </c>
      <c r="E86" s="383" t="s">
        <v>1040</v>
      </c>
      <c r="F86" s="382" t="s">
        <v>369</v>
      </c>
    </row>
    <row r="87" spans="2:6" x14ac:dyDescent="0.2">
      <c r="B87" s="382" t="s">
        <v>630</v>
      </c>
      <c r="C87" s="382" t="s">
        <v>1077</v>
      </c>
      <c r="D87" s="383" t="s">
        <v>1041</v>
      </c>
      <c r="E87" s="383" t="s">
        <v>1040</v>
      </c>
      <c r="F87" s="382" t="s">
        <v>369</v>
      </c>
    </row>
    <row r="88" spans="2:6" x14ac:dyDescent="0.2">
      <c r="B88" s="382" t="s">
        <v>637</v>
      </c>
      <c r="C88" s="382" t="s">
        <v>1078</v>
      </c>
      <c r="D88" s="383" t="s">
        <v>1041</v>
      </c>
      <c r="E88" s="383" t="s">
        <v>1040</v>
      </c>
      <c r="F88" s="382" t="s">
        <v>369</v>
      </c>
    </row>
    <row r="89" spans="2:6" x14ac:dyDescent="0.2">
      <c r="B89" s="382" t="s">
        <v>644</v>
      </c>
      <c r="C89" s="382" t="s">
        <v>1079</v>
      </c>
      <c r="D89" s="383" t="s">
        <v>1041</v>
      </c>
      <c r="E89" s="383" t="s">
        <v>1040</v>
      </c>
      <c r="F89" s="382" t="s">
        <v>369</v>
      </c>
    </row>
    <row r="90" spans="2:6" x14ac:dyDescent="0.2">
      <c r="B90" s="382" t="s">
        <v>1080</v>
      </c>
      <c r="C90" s="382" t="s">
        <v>1081</v>
      </c>
      <c r="D90" s="383" t="s">
        <v>1041</v>
      </c>
      <c r="E90" s="383" t="s">
        <v>1040</v>
      </c>
      <c r="F90" s="382" t="s">
        <v>369</v>
      </c>
    </row>
    <row r="91" spans="2:6" x14ac:dyDescent="0.2">
      <c r="B91" s="382" t="s">
        <v>599</v>
      </c>
      <c r="C91" s="382" t="s">
        <v>1082</v>
      </c>
      <c r="D91" s="383" t="s">
        <v>1041</v>
      </c>
      <c r="E91" s="383" t="s">
        <v>1040</v>
      </c>
      <c r="F91" s="382" t="s">
        <v>369</v>
      </c>
    </row>
    <row r="92" spans="2:6" x14ac:dyDescent="0.2">
      <c r="B92" s="382" t="s">
        <v>611</v>
      </c>
      <c r="C92" s="382" t="s">
        <v>1083</v>
      </c>
      <c r="D92" s="383" t="s">
        <v>1041</v>
      </c>
      <c r="E92" s="383" t="s">
        <v>1040</v>
      </c>
      <c r="F92" s="382" t="s">
        <v>369</v>
      </c>
    </row>
    <row r="93" spans="2:6" x14ac:dyDescent="0.2">
      <c r="B93" s="382" t="s">
        <v>619</v>
      </c>
      <c r="C93" s="382" t="s">
        <v>1084</v>
      </c>
      <c r="D93" s="383" t="s">
        <v>1041</v>
      </c>
      <c r="E93" s="383" t="s">
        <v>1040</v>
      </c>
      <c r="F93" s="382" t="s">
        <v>369</v>
      </c>
    </row>
    <row r="94" spans="2:6" x14ac:dyDescent="0.2">
      <c r="B94" s="382" t="s">
        <v>626</v>
      </c>
      <c r="C94" s="382" t="s">
        <v>1085</v>
      </c>
      <c r="D94" s="383" t="s">
        <v>1041</v>
      </c>
      <c r="E94" s="383" t="s">
        <v>1040</v>
      </c>
      <c r="F94" s="382" t="s">
        <v>369</v>
      </c>
    </row>
    <row r="95" spans="2:6" x14ac:dyDescent="0.2">
      <c r="B95" s="382" t="s">
        <v>633</v>
      </c>
      <c r="C95" s="382" t="s">
        <v>1086</v>
      </c>
      <c r="D95" s="383" t="s">
        <v>1041</v>
      </c>
      <c r="E95" s="383" t="s">
        <v>1040</v>
      </c>
      <c r="F95" s="382" t="s">
        <v>369</v>
      </c>
    </row>
    <row r="96" spans="2:6" x14ac:dyDescent="0.2">
      <c r="B96" s="382" t="s">
        <v>640</v>
      </c>
      <c r="C96" s="382" t="s">
        <v>1087</v>
      </c>
      <c r="D96" s="383" t="s">
        <v>1041</v>
      </c>
      <c r="E96" s="383" t="s">
        <v>1040</v>
      </c>
      <c r="F96" s="382" t="s">
        <v>369</v>
      </c>
    </row>
    <row r="97" spans="2:6" x14ac:dyDescent="0.2">
      <c r="B97" s="382" t="s">
        <v>647</v>
      </c>
      <c r="C97" s="382" t="s">
        <v>1088</v>
      </c>
      <c r="D97" s="383" t="s">
        <v>1041</v>
      </c>
      <c r="E97" s="383" t="s">
        <v>1040</v>
      </c>
      <c r="F97" s="382" t="s">
        <v>369</v>
      </c>
    </row>
    <row r="98" spans="2:6" x14ac:dyDescent="0.2">
      <c r="B98" s="382" t="s">
        <v>1089</v>
      </c>
      <c r="C98" s="382" t="s">
        <v>1090</v>
      </c>
      <c r="D98" s="383" t="s">
        <v>1041</v>
      </c>
      <c r="E98" s="383" t="s">
        <v>1040</v>
      </c>
      <c r="F98" s="382" t="s">
        <v>369</v>
      </c>
    </row>
    <row r="99" spans="2:6" x14ac:dyDescent="0.2">
      <c r="B99" s="382" t="s">
        <v>598</v>
      </c>
      <c r="C99" s="382" t="s">
        <v>1091</v>
      </c>
      <c r="D99" s="383" t="s">
        <v>1041</v>
      </c>
      <c r="E99" s="383" t="s">
        <v>1040</v>
      </c>
      <c r="F99" s="382" t="s">
        <v>369</v>
      </c>
    </row>
    <row r="100" spans="2:6" x14ac:dyDescent="0.2">
      <c r="B100" s="382" t="s">
        <v>610</v>
      </c>
      <c r="C100" s="382" t="s">
        <v>1092</v>
      </c>
      <c r="D100" s="383" t="s">
        <v>1041</v>
      </c>
      <c r="E100" s="383" t="s">
        <v>1040</v>
      </c>
      <c r="F100" s="382" t="s">
        <v>369</v>
      </c>
    </row>
    <row r="101" spans="2:6" x14ac:dyDescent="0.2">
      <c r="B101" s="382" t="s">
        <v>618</v>
      </c>
      <c r="C101" s="382" t="s">
        <v>1093</v>
      </c>
      <c r="D101" s="383" t="s">
        <v>1041</v>
      </c>
      <c r="E101" s="383" t="s">
        <v>1040</v>
      </c>
      <c r="F101" s="382" t="s">
        <v>369</v>
      </c>
    </row>
    <row r="102" spans="2:6" x14ac:dyDescent="0.2">
      <c r="B102" s="382" t="s">
        <v>625</v>
      </c>
      <c r="C102" s="382" t="s">
        <v>1094</v>
      </c>
      <c r="D102" s="383" t="s">
        <v>1041</v>
      </c>
      <c r="E102" s="383" t="s">
        <v>1040</v>
      </c>
      <c r="F102" s="382" t="s">
        <v>369</v>
      </c>
    </row>
    <row r="103" spans="2:6" x14ac:dyDescent="0.2">
      <c r="B103" s="382" t="s">
        <v>632</v>
      </c>
      <c r="C103" s="382" t="s">
        <v>1095</v>
      </c>
      <c r="D103" s="383" t="s">
        <v>1041</v>
      </c>
      <c r="E103" s="383" t="s">
        <v>1040</v>
      </c>
      <c r="F103" s="382" t="s">
        <v>369</v>
      </c>
    </row>
    <row r="104" spans="2:6" x14ac:dyDescent="0.2">
      <c r="B104" s="382" t="s">
        <v>639</v>
      </c>
      <c r="C104" s="382" t="s">
        <v>1096</v>
      </c>
      <c r="D104" s="383" t="s">
        <v>1041</v>
      </c>
      <c r="E104" s="383" t="s">
        <v>1040</v>
      </c>
      <c r="F104" s="382" t="s">
        <v>369</v>
      </c>
    </row>
    <row r="105" spans="2:6" x14ac:dyDescent="0.2">
      <c r="B105" s="382" t="s">
        <v>646</v>
      </c>
      <c r="C105" s="382" t="s">
        <v>1097</v>
      </c>
      <c r="D105" s="383" t="s">
        <v>1041</v>
      </c>
      <c r="E105" s="383" t="s">
        <v>1040</v>
      </c>
      <c r="F105" s="382" t="s">
        <v>369</v>
      </c>
    </row>
    <row r="106" spans="2:6" x14ac:dyDescent="0.2">
      <c r="B106" s="382" t="s">
        <v>1098</v>
      </c>
      <c r="C106" s="382" t="s">
        <v>1099</v>
      </c>
      <c r="D106" s="383" t="s">
        <v>1041</v>
      </c>
      <c r="E106" s="383" t="s">
        <v>1040</v>
      </c>
      <c r="F106" s="382" t="s">
        <v>369</v>
      </c>
    </row>
    <row r="107" spans="2:6" x14ac:dyDescent="0.2">
      <c r="B107" s="382" t="s">
        <v>597</v>
      </c>
      <c r="C107" s="382" t="s">
        <v>1100</v>
      </c>
      <c r="D107" s="383" t="s">
        <v>1041</v>
      </c>
      <c r="E107" s="383" t="s">
        <v>1040</v>
      </c>
      <c r="F107" s="382" t="s">
        <v>369</v>
      </c>
    </row>
    <row r="108" spans="2:6" x14ac:dyDescent="0.2">
      <c r="B108" s="382" t="s">
        <v>609</v>
      </c>
      <c r="C108" s="382" t="s">
        <v>1101</v>
      </c>
      <c r="D108" s="383" t="s">
        <v>1041</v>
      </c>
      <c r="E108" s="383" t="s">
        <v>1040</v>
      </c>
      <c r="F108" s="382" t="s">
        <v>369</v>
      </c>
    </row>
    <row r="109" spans="2:6" x14ac:dyDescent="0.2">
      <c r="B109" s="382" t="s">
        <v>617</v>
      </c>
      <c r="C109" s="382" t="s">
        <v>1102</v>
      </c>
      <c r="D109" s="383" t="s">
        <v>1041</v>
      </c>
      <c r="E109" s="383" t="s">
        <v>1040</v>
      </c>
      <c r="F109" s="382" t="s">
        <v>369</v>
      </c>
    </row>
    <row r="110" spans="2:6" x14ac:dyDescent="0.2">
      <c r="B110" s="382" t="s">
        <v>624</v>
      </c>
      <c r="C110" s="382" t="s">
        <v>1103</v>
      </c>
      <c r="D110" s="383" t="s">
        <v>1041</v>
      </c>
      <c r="E110" s="383" t="s">
        <v>1040</v>
      </c>
      <c r="F110" s="382" t="s">
        <v>369</v>
      </c>
    </row>
    <row r="111" spans="2:6" x14ac:dyDescent="0.2">
      <c r="B111" s="382" t="s">
        <v>631</v>
      </c>
      <c r="C111" s="382" t="s">
        <v>1104</v>
      </c>
      <c r="D111" s="383" t="s">
        <v>1041</v>
      </c>
      <c r="E111" s="383" t="s">
        <v>1040</v>
      </c>
      <c r="F111" s="382" t="s">
        <v>369</v>
      </c>
    </row>
    <row r="112" spans="2:6" x14ac:dyDescent="0.2">
      <c r="B112" s="382" t="s">
        <v>638</v>
      </c>
      <c r="C112" s="382" t="s">
        <v>1105</v>
      </c>
      <c r="D112" s="383" t="s">
        <v>1041</v>
      </c>
      <c r="E112" s="383" t="s">
        <v>1040</v>
      </c>
      <c r="F112" s="382" t="s">
        <v>369</v>
      </c>
    </row>
    <row r="113" spans="2:6" x14ac:dyDescent="0.2">
      <c r="B113" s="382" t="s">
        <v>645</v>
      </c>
      <c r="C113" s="382" t="s">
        <v>1106</v>
      </c>
      <c r="D113" s="383" t="s">
        <v>1041</v>
      </c>
      <c r="E113" s="383" t="s">
        <v>1040</v>
      </c>
      <c r="F113" s="382" t="s">
        <v>369</v>
      </c>
    </row>
    <row r="114" spans="2:6" x14ac:dyDescent="0.2">
      <c r="B114" s="382" t="s">
        <v>1107</v>
      </c>
      <c r="C114" s="382" t="s">
        <v>1108</v>
      </c>
      <c r="D114" s="383" t="s">
        <v>1041</v>
      </c>
      <c r="E114" s="383" t="s">
        <v>1040</v>
      </c>
      <c r="F114" s="382" t="s">
        <v>369</v>
      </c>
    </row>
    <row r="115" spans="2:6" x14ac:dyDescent="0.2">
      <c r="B115" s="382" t="s">
        <v>1109</v>
      </c>
      <c r="C115" s="382" t="s">
        <v>1110</v>
      </c>
      <c r="D115" s="383" t="s">
        <v>1041</v>
      </c>
      <c r="E115" s="383" t="s">
        <v>1040</v>
      </c>
      <c r="F115" s="382" t="s">
        <v>369</v>
      </c>
    </row>
    <row r="116" spans="2:6" x14ac:dyDescent="0.2">
      <c r="B116" s="382" t="s">
        <v>1111</v>
      </c>
      <c r="C116" s="382" t="s">
        <v>1112</v>
      </c>
      <c r="D116" s="383" t="s">
        <v>1041</v>
      </c>
      <c r="E116" s="383" t="s">
        <v>1040</v>
      </c>
      <c r="F116" s="382" t="s">
        <v>369</v>
      </c>
    </row>
    <row r="117" spans="2:6" x14ac:dyDescent="0.2">
      <c r="B117" s="382" t="s">
        <v>1113</v>
      </c>
      <c r="C117" s="382" t="s">
        <v>1114</v>
      </c>
      <c r="D117" s="383" t="s">
        <v>1041</v>
      </c>
      <c r="E117" s="383" t="s">
        <v>1040</v>
      </c>
      <c r="F117" s="382" t="s">
        <v>369</v>
      </c>
    </row>
    <row r="118" spans="2:6" x14ac:dyDescent="0.2">
      <c r="B118" s="382" t="s">
        <v>1115</v>
      </c>
      <c r="C118" s="382" t="s">
        <v>1116</v>
      </c>
      <c r="D118" s="383" t="s">
        <v>1041</v>
      </c>
      <c r="E118" s="383" t="s">
        <v>1040</v>
      </c>
      <c r="F118" s="382" t="s">
        <v>369</v>
      </c>
    </row>
    <row r="119" spans="2:6" x14ac:dyDescent="0.2">
      <c r="B119" s="382" t="s">
        <v>1117</v>
      </c>
      <c r="C119" s="382" t="s">
        <v>1118</v>
      </c>
      <c r="D119" s="383" t="s">
        <v>1041</v>
      </c>
      <c r="E119" s="383" t="s">
        <v>1040</v>
      </c>
      <c r="F119" s="382" t="s">
        <v>369</v>
      </c>
    </row>
    <row r="120" spans="2:6" x14ac:dyDescent="0.2">
      <c r="B120" s="382" t="s">
        <v>1119</v>
      </c>
      <c r="C120" s="382" t="s">
        <v>1120</v>
      </c>
      <c r="D120" s="383" t="s">
        <v>1041</v>
      </c>
      <c r="E120" s="383" t="s">
        <v>1040</v>
      </c>
      <c r="F120" s="382" t="s">
        <v>369</v>
      </c>
    </row>
    <row r="121" spans="2:6" x14ac:dyDescent="0.2">
      <c r="B121" s="382" t="s">
        <v>1121</v>
      </c>
      <c r="C121" s="382" t="s">
        <v>1122</v>
      </c>
      <c r="D121" s="383" t="s">
        <v>1041</v>
      </c>
      <c r="E121" s="383" t="s">
        <v>1040</v>
      </c>
      <c r="F121" s="382" t="s">
        <v>369</v>
      </c>
    </row>
    <row r="122" spans="2:6" x14ac:dyDescent="0.2">
      <c r="B122" s="382" t="s">
        <v>1123</v>
      </c>
      <c r="C122" s="382" t="s">
        <v>1124</v>
      </c>
      <c r="D122" s="383" t="s">
        <v>1041</v>
      </c>
      <c r="E122" s="383" t="s">
        <v>1040</v>
      </c>
      <c r="F122" s="382" t="s">
        <v>369</v>
      </c>
    </row>
    <row r="123" spans="2:6" x14ac:dyDescent="0.2">
      <c r="B123" s="382" t="s">
        <v>600</v>
      </c>
      <c r="C123" s="382" t="s">
        <v>1125</v>
      </c>
      <c r="D123" s="383" t="s">
        <v>1041</v>
      </c>
      <c r="E123" s="383" t="s">
        <v>1040</v>
      </c>
      <c r="F123" s="382" t="s">
        <v>369</v>
      </c>
    </row>
    <row r="124" spans="2:6" x14ac:dyDescent="0.2">
      <c r="B124" s="382" t="s">
        <v>612</v>
      </c>
      <c r="C124" s="382" t="s">
        <v>1126</v>
      </c>
      <c r="D124" s="383" t="s">
        <v>1041</v>
      </c>
      <c r="E124" s="383" t="s">
        <v>1040</v>
      </c>
      <c r="F124" s="382" t="s">
        <v>369</v>
      </c>
    </row>
    <row r="125" spans="2:6" x14ac:dyDescent="0.2">
      <c r="B125" s="382" t="s">
        <v>620</v>
      </c>
      <c r="C125" s="382" t="s">
        <v>1127</v>
      </c>
      <c r="D125" s="383" t="s">
        <v>1041</v>
      </c>
      <c r="E125" s="383" t="s">
        <v>1040</v>
      </c>
      <c r="F125" s="382" t="s">
        <v>369</v>
      </c>
    </row>
    <row r="126" spans="2:6" x14ac:dyDescent="0.2">
      <c r="B126" s="382" t="s">
        <v>627</v>
      </c>
      <c r="C126" s="382" t="s">
        <v>1128</v>
      </c>
      <c r="D126" s="383" t="s">
        <v>1041</v>
      </c>
      <c r="E126" s="383" t="s">
        <v>1040</v>
      </c>
      <c r="F126" s="382" t="s">
        <v>369</v>
      </c>
    </row>
    <row r="127" spans="2:6" x14ac:dyDescent="0.2">
      <c r="B127" s="382" t="s">
        <v>634</v>
      </c>
      <c r="C127" s="382" t="s">
        <v>1129</v>
      </c>
      <c r="D127" s="383" t="s">
        <v>1041</v>
      </c>
      <c r="E127" s="383" t="s">
        <v>1040</v>
      </c>
      <c r="F127" s="382" t="s">
        <v>369</v>
      </c>
    </row>
    <row r="128" spans="2:6" x14ac:dyDescent="0.2">
      <c r="B128" s="382" t="s">
        <v>641</v>
      </c>
      <c r="C128" s="382" t="s">
        <v>1130</v>
      </c>
      <c r="D128" s="383" t="s">
        <v>1041</v>
      </c>
      <c r="E128" s="383" t="s">
        <v>1040</v>
      </c>
      <c r="F128" s="382" t="s">
        <v>369</v>
      </c>
    </row>
    <row r="129" spans="2:6" x14ac:dyDescent="0.2">
      <c r="B129" s="382" t="s">
        <v>648</v>
      </c>
      <c r="C129" s="382" t="s">
        <v>1131</v>
      </c>
      <c r="D129" s="383" t="s">
        <v>1041</v>
      </c>
      <c r="E129" s="383" t="s">
        <v>1040</v>
      </c>
      <c r="F129" s="382" t="s">
        <v>369</v>
      </c>
    </row>
    <row r="130" spans="2:6" x14ac:dyDescent="0.2">
      <c r="B130" s="382" t="s">
        <v>1132</v>
      </c>
      <c r="C130" s="382" t="s">
        <v>1133</v>
      </c>
      <c r="D130" s="383" t="s">
        <v>1041</v>
      </c>
      <c r="E130" s="383" t="s">
        <v>1040</v>
      </c>
      <c r="F130" s="382" t="s">
        <v>369</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64" workbookViewId="0">
      <selection activeCell="G29" sqref="G29"/>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1155</v>
      </c>
      <c r="C1" s="169"/>
      <c r="D1" s="169"/>
      <c r="E1" s="169"/>
    </row>
    <row r="2" spans="1:53" ht="13.5" thickTop="1" x14ac:dyDescent="0.2"/>
    <row r="3" spans="1:53" ht="15.75" x14ac:dyDescent="0.25">
      <c r="A3" s="36" t="s">
        <v>232</v>
      </c>
      <c r="B3" s="414" t="s">
        <v>233</v>
      </c>
      <c r="C3" s="414"/>
      <c r="D3" s="414"/>
      <c r="E3" s="37" t="s">
        <v>234</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235</v>
      </c>
      <c r="D5" s="39"/>
    </row>
    <row r="6" spans="1:53" x14ac:dyDescent="0.2">
      <c r="A6" s="29" t="s">
        <v>236</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237</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NameConv!$B$16</f>
        <v>Electricity</v>
      </c>
      <c r="R7" s="41" t="str">
        <f>NameConv!$B$17</f>
        <v>Electricity Upstream Transmission</v>
      </c>
      <c r="U7" s="41" t="str">
        <f>NameConv!B26</f>
        <v>Coastal Gas</v>
      </c>
      <c r="V7" s="41" t="str">
        <f>NameConv!$B$19</f>
        <v>Gas Southern Mozambique</v>
      </c>
      <c r="W7" s="42" t="str">
        <f>NameConv!$B$20</f>
        <v>Gas Namibia</v>
      </c>
      <c r="X7" s="43" t="str">
        <f>NameConv!$B$21</f>
        <v>Gas Regional LNG</v>
      </c>
      <c r="Y7" s="43" t="str">
        <f>NameConv!$B$22</f>
        <v>Gas International LNG</v>
      </c>
      <c r="AA7" s="43" t="str">
        <f>NameConv!$B$23</f>
        <v>Gas Northern Mozambique</v>
      </c>
      <c r="AC7" s="44" t="str">
        <f>NameConv!$B$24</f>
        <v>Gas Indigenous Ibhubezi</v>
      </c>
      <c r="AE7" s="44" t="str">
        <f>NameConv!$B$25</f>
        <v>Gas Indigenous Shale</v>
      </c>
      <c r="AH7" s="42" t="str">
        <f>NameConv!$B$27</f>
        <v>Gas Methane Rich</v>
      </c>
      <c r="AJ7" s="42" t="str">
        <f>NameConv!$B$28</f>
        <v>Heat-Steam</v>
      </c>
      <c r="AK7" s="42" t="str">
        <f>NameConv!$B$29</f>
        <v>Heat-Steam Existing</v>
      </c>
      <c r="AL7" s="42" t="str">
        <f>NameConv!$B$30</f>
        <v>Heat-Steam New</v>
      </c>
      <c r="AM7" s="42" t="str">
        <f>NameConv!$B$31</f>
        <v>Hydro</v>
      </c>
      <c r="AN7" s="42" t="str">
        <f>NameConv!$B$32</f>
        <v>Hydrogen</v>
      </c>
      <c r="AO7" s="42" t="str">
        <f>NameConv!$B$33</f>
        <v>Nuclear</v>
      </c>
      <c r="AP7" s="42" t="str">
        <f>NameConv!$B$34</f>
        <v>Oil Av Gasoline</v>
      </c>
      <c r="AQ7" s="42" t="str">
        <f>NameConv!$B$35</f>
        <v>Oil Crude</v>
      </c>
      <c r="AR7" s="42" t="str">
        <f>NameConv!$B$36</f>
        <v>Oil Diesel</v>
      </c>
      <c r="AS7" s="42" t="str">
        <f>NameConv!$B$37</f>
        <v>Oil Gasoline</v>
      </c>
      <c r="AT7" s="42" t="str">
        <f>NameConv!$B$38</f>
        <v>Oil HFO</v>
      </c>
      <c r="AU7" s="42" t="str">
        <f>NameConv!$B$39</f>
        <v>Oil Kerosene</v>
      </c>
      <c r="AV7" s="42" t="str">
        <f>NameConv!$B$40</f>
        <v>Oil LPG</v>
      </c>
      <c r="AW7" s="42" t="str">
        <f>NameConv!$B$41</f>
        <v>Oil Other</v>
      </c>
      <c r="AX7" s="42" t="str">
        <f>NameConv!$B$42</f>
        <v>Solar</v>
      </c>
      <c r="AY7" s="42" t="str">
        <f>NameConv!$B$43</f>
        <v>Wind</v>
      </c>
    </row>
    <row r="8" spans="1:53" x14ac:dyDescent="0.2">
      <c r="A8" s="29" t="s">
        <v>238</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239</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240</v>
      </c>
      <c r="B10" s="45" t="s">
        <v>241</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242</v>
      </c>
      <c r="B11" s="45" t="s">
        <v>241</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243</v>
      </c>
      <c r="B12" s="45" t="s">
        <v>241</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6" t="s">
        <v>1194</v>
      </c>
      <c r="N13" s="48"/>
      <c r="O13" s="48"/>
      <c r="P13" s="49"/>
      <c r="Q13" s="407"/>
      <c r="R13" s="47"/>
      <c r="S13" s="47"/>
      <c r="T13" s="47"/>
      <c r="U13" s="47"/>
      <c r="V13" s="47"/>
      <c r="W13" s="47"/>
      <c r="X13" s="47"/>
      <c r="Y13" s="47"/>
      <c r="Z13" s="47"/>
      <c r="AA13" s="47"/>
      <c r="AB13" s="50"/>
    </row>
    <row r="14" spans="1:53" x14ac:dyDescent="0.2">
      <c r="A14" s="51" t="s">
        <v>244</v>
      </c>
      <c r="B14" s="52"/>
      <c r="C14" s="52"/>
      <c r="D14" s="52"/>
      <c r="E14" s="52"/>
      <c r="F14" s="53">
        <v>2017</v>
      </c>
      <c r="G14" s="53">
        <v>2021</v>
      </c>
      <c r="H14" s="53">
        <v>2030</v>
      </c>
      <c r="I14" s="53">
        <v>2050</v>
      </c>
      <c r="M14" s="54"/>
      <c r="O14" s="38">
        <v>2021</v>
      </c>
      <c r="P14" s="38">
        <v>2030</v>
      </c>
      <c r="Q14" s="55">
        <f>I14</f>
        <v>2050</v>
      </c>
      <c r="S14" s="47" t="s">
        <v>1197</v>
      </c>
      <c r="T14" s="47"/>
      <c r="U14" s="47"/>
      <c r="V14" s="47"/>
    </row>
    <row r="15" spans="1:53" ht="15" x14ac:dyDescent="0.25">
      <c r="A15" s="56" t="s">
        <v>245</v>
      </c>
      <c r="B15" s="28" t="s">
        <v>1192</v>
      </c>
      <c r="F15" s="57">
        <v>16.45</v>
      </c>
      <c r="G15" s="57">
        <f>F15</f>
        <v>16.45</v>
      </c>
      <c r="H15" s="57">
        <f>G15</f>
        <v>16.45</v>
      </c>
      <c r="I15" s="57">
        <f>H15</f>
        <v>16.45</v>
      </c>
      <c r="M15" s="56"/>
      <c r="O15" s="408"/>
      <c r="P15" s="408"/>
      <c r="Q15" s="58"/>
      <c r="S15" s="404">
        <v>0.08</v>
      </c>
      <c r="T15" s="47"/>
      <c r="U15" s="47"/>
      <c r="V15" s="47"/>
    </row>
    <row r="16" spans="1:53" ht="15" x14ac:dyDescent="0.25">
      <c r="A16" s="56" t="s">
        <v>247</v>
      </c>
      <c r="B16" s="28" t="s">
        <v>1196</v>
      </c>
      <c r="C16" s="59" t="s">
        <v>248</v>
      </c>
      <c r="D16" s="60" t="s">
        <v>824</v>
      </c>
      <c r="F16" s="62">
        <f>IEA_WEO!BZ94*1.165</f>
        <v>72.23</v>
      </c>
      <c r="G16" s="63">
        <f>SUMIF($M$15:$M$24,$D$16,O$15:O$24)*(1+$S$15)</f>
        <v>74.52000000000001</v>
      </c>
      <c r="H16" s="63">
        <f>SUMIF($M$15:$M$24,$D$16,P$15:P$24)*(1+$S$15)</f>
        <v>60.120000000000005</v>
      </c>
      <c r="I16" s="63">
        <f>SUMIF($M$15:$M$24,$D$16,Q$15:Q$24)*(1+$S$15)</f>
        <v>54.36</v>
      </c>
      <c r="M16" s="64" t="s">
        <v>1195</v>
      </c>
      <c r="O16" s="409">
        <f>IEA_WEO!DK96</f>
        <v>69</v>
      </c>
      <c r="P16" s="409">
        <f>IEA_WEO!DL96</f>
        <v>35</v>
      </c>
      <c r="Q16" s="410">
        <f>IEA_WEO!DM96</f>
        <v>24</v>
      </c>
      <c r="S16" s="47"/>
      <c r="T16" s="47"/>
      <c r="U16" s="47"/>
      <c r="V16" s="47"/>
    </row>
    <row r="17" spans="1:36" ht="15" x14ac:dyDescent="0.25">
      <c r="A17" s="56" t="s">
        <v>249</v>
      </c>
      <c r="B17" s="28" t="s">
        <v>250</v>
      </c>
      <c r="F17" s="30"/>
      <c r="G17" s="30"/>
      <c r="H17" s="30"/>
      <c r="I17" s="30"/>
      <c r="M17" s="56" t="s">
        <v>824</v>
      </c>
      <c r="O17" s="409">
        <f>O16</f>
        <v>69</v>
      </c>
      <c r="P17" s="409">
        <f>IEA_WEO!CL101</f>
        <v>55.666666666666664</v>
      </c>
      <c r="Q17" s="410">
        <f>IEA_WEO!CM101</f>
        <v>50.333333333333329</v>
      </c>
      <c r="S17" s="47"/>
      <c r="T17" s="47"/>
      <c r="U17" s="47"/>
      <c r="V17" s="47"/>
      <c r="W17"/>
      <c r="X17"/>
    </row>
    <row r="18" spans="1:36" ht="15.75" thickBot="1" x14ac:dyDescent="0.3">
      <c r="A18" s="65" t="s">
        <v>157</v>
      </c>
      <c r="B18" s="66" t="s">
        <v>251</v>
      </c>
      <c r="C18" s="66"/>
      <c r="D18" s="66"/>
      <c r="E18" s="66"/>
      <c r="F18" s="67"/>
      <c r="G18" s="67"/>
      <c r="H18" s="66"/>
      <c r="I18" s="66"/>
      <c r="M18" s="68" t="s">
        <v>822</v>
      </c>
      <c r="N18" s="66"/>
      <c r="O18" s="411">
        <f>O17</f>
        <v>69</v>
      </c>
      <c r="P18" s="411">
        <f>IEA_WEO!CL102</f>
        <v>63.333333333333336</v>
      </c>
      <c r="Q18" s="412">
        <f>IEA_WEO!CM102</f>
        <v>80.666666666666657</v>
      </c>
      <c r="S18" s="47"/>
      <c r="T18" s="47"/>
      <c r="U18" s="47"/>
      <c r="V18" s="47"/>
      <c r="W18"/>
      <c r="X18"/>
      <c r="Z18" s="29" t="s">
        <v>252</v>
      </c>
      <c r="AA18"/>
      <c r="AB18"/>
      <c r="AH18" s="30"/>
      <c r="AI18" s="30"/>
    </row>
    <row r="19" spans="1:36" ht="15" x14ac:dyDescent="0.25">
      <c r="A19" s="69" t="s">
        <v>253</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254</v>
      </c>
      <c r="G20" s="30" t="s">
        <v>254</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1198</v>
      </c>
      <c r="B21" s="76" t="s">
        <v>1193</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205</v>
      </c>
      <c r="B22" s="57" t="s">
        <v>255</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256</v>
      </c>
      <c r="B23" s="57" t="s">
        <v>1199</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207</v>
      </c>
      <c r="B24" s="57" t="s">
        <v>255</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213</v>
      </c>
      <c r="B25" s="57" t="s">
        <v>255</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209</v>
      </c>
      <c r="B26" s="57" t="s">
        <v>255</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215</v>
      </c>
      <c r="B27" s="57" t="s">
        <v>255</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257</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211</v>
      </c>
      <c r="B28" s="57" t="s">
        <v>255</v>
      </c>
      <c r="C28" s="81"/>
      <c r="D28" s="81"/>
      <c r="E28" s="30" t="str">
        <f>VLOOKUP(A28,FuelNames,2,FALSE)</f>
        <v>OHF</v>
      </c>
      <c r="F28" s="77">
        <f>F22</f>
        <v>196.45298120195667</v>
      </c>
      <c r="G28" s="77">
        <f>G22</f>
        <v>202.68138113207547</v>
      </c>
      <c r="H28" s="77">
        <f>H22</f>
        <v>163.51589685534591</v>
      </c>
      <c r="I28" s="78">
        <f>I22</f>
        <v>147.84970314465409</v>
      </c>
      <c r="N28"/>
      <c r="O28" s="84"/>
      <c r="P28" s="85" t="s">
        <v>258</v>
      </c>
      <c r="Q28" s="86"/>
      <c r="S28" s="87" t="s">
        <v>259</v>
      </c>
      <c r="T28" s="88"/>
      <c r="U28" s="86"/>
      <c r="V28" s="85" t="s">
        <v>260</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261</v>
      </c>
      <c r="B29" s="57" t="s">
        <v>1199</v>
      </c>
      <c r="C29" s="57"/>
      <c r="D29"/>
      <c r="E29" s="30"/>
      <c r="F29" s="77"/>
      <c r="G29" s="405">
        <f>G30*'Liq Fuel Prices'!$AC$9/1000</f>
        <v>18.277098236852964</v>
      </c>
      <c r="H29" s="77"/>
      <c r="I29" s="78"/>
      <c r="N29"/>
      <c r="O29" s="90" t="s">
        <v>254</v>
      </c>
      <c r="P29" s="91" t="s">
        <v>262</v>
      </c>
      <c r="Q29" s="92" t="s">
        <v>263</v>
      </c>
      <c r="R29" s="92" t="s">
        <v>264</v>
      </c>
      <c r="S29" s="92" t="s">
        <v>265</v>
      </c>
      <c r="T29" s="92" t="s">
        <v>266</v>
      </c>
      <c r="U29" s="92" t="s">
        <v>267</v>
      </c>
      <c r="V29" s="92" t="s">
        <v>266</v>
      </c>
      <c r="W29" s="92" t="s">
        <v>267</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255</v>
      </c>
      <c r="C30" s="57"/>
      <c r="D30"/>
      <c r="E30" s="30" t="str">
        <f>"xxx"&amp;E24</f>
        <v>xxxODS</v>
      </c>
      <c r="F30" s="77">
        <f>F24/0.51</f>
        <v>463.8507680207336</v>
      </c>
      <c r="G30" s="77">
        <f>G24/0.51</f>
        <v>479.71386448432975</v>
      </c>
      <c r="H30" s="77">
        <f t="shared" ref="H30:I32" si="6">H24/0.51</f>
        <v>386.36027835886966</v>
      </c>
      <c r="I30" s="77">
        <f t="shared" si="6"/>
        <v>349.0188439086856</v>
      </c>
      <c r="N30"/>
      <c r="O30" s="90" t="s">
        <v>268</v>
      </c>
      <c r="P30" s="93" t="s">
        <v>269</v>
      </c>
      <c r="Q30" s="94" t="s">
        <v>270</v>
      </c>
      <c r="R30" s="94" t="s">
        <v>271</v>
      </c>
      <c r="S30" s="94" t="s">
        <v>272</v>
      </c>
      <c r="T30" s="94" t="s">
        <v>273</v>
      </c>
      <c r="U30" s="94" t="s">
        <v>273</v>
      </c>
      <c r="V30" s="94" t="s">
        <v>274</v>
      </c>
      <c r="W30" s="94" t="s">
        <v>274</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255</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275</v>
      </c>
      <c r="P31" s="93" t="s">
        <v>276</v>
      </c>
      <c r="Q31" s="94" t="s">
        <v>276</v>
      </c>
      <c r="R31" s="94" t="s">
        <v>276</v>
      </c>
      <c r="S31" s="94" t="s">
        <v>276</v>
      </c>
      <c r="T31" s="94" t="s">
        <v>277</v>
      </c>
      <c r="U31" s="94" t="s">
        <v>277</v>
      </c>
      <c r="V31" s="94" t="s">
        <v>278</v>
      </c>
      <c r="W31" s="94" t="s">
        <v>278</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255</v>
      </c>
      <c r="C32" s="57"/>
      <c r="D32"/>
      <c r="E32" s="30" t="str">
        <f>"xxx"&amp;E26</f>
        <v>xxxOGS</v>
      </c>
      <c r="F32" s="77">
        <f>F26/0.51</f>
        <v>484.38050469006419</v>
      </c>
      <c r="G32" s="77">
        <f>G26/0.51</f>
        <v>496.20830658516496</v>
      </c>
      <c r="H32" s="77">
        <f t="shared" si="6"/>
        <v>402.32125668914273</v>
      </c>
      <c r="I32" s="77">
        <f t="shared" si="6"/>
        <v>364.7664367307338</v>
      </c>
      <c r="N32"/>
      <c r="O32" s="90" t="s">
        <v>279</v>
      </c>
      <c r="P32" s="93" t="s">
        <v>280</v>
      </c>
      <c r="Q32" s="94" t="s">
        <v>281</v>
      </c>
      <c r="R32" s="94" t="s">
        <v>282</v>
      </c>
      <c r="S32" s="94" t="s">
        <v>272</v>
      </c>
      <c r="T32" s="94" t="s">
        <v>283</v>
      </c>
      <c r="U32" s="94" t="s">
        <v>284</v>
      </c>
      <c r="V32" s="94" t="s">
        <v>283</v>
      </c>
      <c r="W32" s="94" t="s">
        <v>284</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255</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285</v>
      </c>
      <c r="P33" s="93" t="s">
        <v>286</v>
      </c>
      <c r="Q33" s="94" t="s">
        <v>287</v>
      </c>
      <c r="R33" s="94" t="s">
        <v>288</v>
      </c>
      <c r="S33" s="94" t="s">
        <v>289</v>
      </c>
      <c r="T33" s="94" t="s">
        <v>290</v>
      </c>
      <c r="U33" s="94" t="s">
        <v>291</v>
      </c>
      <c r="V33" s="94" t="s">
        <v>292</v>
      </c>
      <c r="W33" s="94" t="s">
        <v>293</v>
      </c>
      <c r="Z33" s="79"/>
      <c r="AA33" s="28" t="str">
        <f>[8]Export!D19</f>
        <v>Shale(2015$/MMBTU)</v>
      </c>
      <c r="AH33" s="30"/>
      <c r="AI33" s="30"/>
    </row>
    <row r="34" spans="1:43" ht="13.5" customHeight="1" thickBot="1" x14ac:dyDescent="0.3">
      <c r="A34" s="65" t="str">
        <f>A28</f>
        <v>Oil HFO</v>
      </c>
      <c r="B34" s="95" t="s">
        <v>255</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294</v>
      </c>
      <c r="O35" s="100" t="s">
        <v>295</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296</v>
      </c>
      <c r="C36" s="30"/>
      <c r="D36" s="60" t="str">
        <f>D16</f>
        <v>Announced Pledges</v>
      </c>
      <c r="F36" s="30"/>
      <c r="G36" s="30"/>
      <c r="J36" s="28" t="s">
        <v>298</v>
      </c>
      <c r="O36" s="104" t="s">
        <v>299</v>
      </c>
      <c r="P36" s="52" t="s">
        <v>300</v>
      </c>
      <c r="Q36" s="52" t="s">
        <v>301</v>
      </c>
      <c r="R36" s="105" t="str">
        <f>M16</f>
        <v>Net Zero</v>
      </c>
      <c r="S36" s="52" t="str">
        <f>M17</f>
        <v>Announced Pledges</v>
      </c>
      <c r="T36" s="52" t="str">
        <f>M18</f>
        <v>Stated Policies</v>
      </c>
      <c r="U36" s="28" t="s">
        <v>297</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NameConv!B24</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302</v>
      </c>
      <c r="C38" s="30" t="str">
        <f>B66</f>
        <v>MINGAS</v>
      </c>
      <c r="D38" s="30" t="s">
        <v>172</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NameConv!B25</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NameConv!B23</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NameConv!B21</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NameConv!B22</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303</v>
      </c>
    </row>
    <row r="43" spans="1:43" ht="13.5" customHeight="1" x14ac:dyDescent="0.25">
      <c r="C43" s="30"/>
      <c r="D43" s="30"/>
      <c r="E43" s="30"/>
      <c r="F43" s="30"/>
      <c r="G43" s="30"/>
      <c r="H43" s="30"/>
      <c r="I43" s="30"/>
      <c r="J43" s="125"/>
      <c r="K43" s="125"/>
      <c r="L43" s="125"/>
      <c r="N43"/>
      <c r="Y43" s="126"/>
      <c r="Z43" s="127"/>
      <c r="AA43" s="127" t="s">
        <v>304</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305</v>
      </c>
      <c r="AA44" s="24" t="s">
        <v>306</v>
      </c>
      <c r="AB44" s="129">
        <v>78</v>
      </c>
      <c r="AC44" s="129">
        <v>118</v>
      </c>
      <c r="AD44" s="129">
        <v>127</v>
      </c>
      <c r="AE44" s="129">
        <v>134</v>
      </c>
      <c r="AF44" s="129">
        <v>140</v>
      </c>
      <c r="AG44" s="129">
        <v>143</v>
      </c>
      <c r="AH44" s="129">
        <v>146</v>
      </c>
      <c r="AI44" s="129">
        <v>149</v>
      </c>
    </row>
    <row r="45" spans="1:43" ht="15" x14ac:dyDescent="0.25">
      <c r="A45" s="130" t="s">
        <v>307</v>
      </c>
      <c r="B45" s="131" t="s">
        <v>308</v>
      </c>
      <c r="C45" s="132"/>
      <c r="D45" s="133" t="s">
        <v>309</v>
      </c>
      <c r="E45" s="134"/>
      <c r="F45" s="134"/>
      <c r="G45" s="134"/>
      <c r="H45" s="134"/>
      <c r="I45" s="134"/>
      <c r="N45"/>
      <c r="P45"/>
      <c r="Y45"/>
      <c r="Z45" s="127" t="s">
        <v>310</v>
      </c>
      <c r="AA45" s="127" t="s">
        <v>311</v>
      </c>
      <c r="AB45" s="135">
        <v>78</v>
      </c>
      <c r="AC45" s="135">
        <v>97</v>
      </c>
      <c r="AD45" s="135">
        <v>97</v>
      </c>
      <c r="AE45" s="135">
        <v>97</v>
      </c>
      <c r="AF45" s="135">
        <v>97</v>
      </c>
      <c r="AG45" s="135">
        <v>92</v>
      </c>
      <c r="AH45" s="135">
        <v>89</v>
      </c>
      <c r="AI45" s="135">
        <v>87</v>
      </c>
    </row>
    <row r="46" spans="1:43" ht="15" x14ac:dyDescent="0.25">
      <c r="A46" s="136" t="s">
        <v>240</v>
      </c>
      <c r="B46" s="30" t="s">
        <v>312</v>
      </c>
      <c r="C46" s="45" t="s">
        <v>313</v>
      </c>
      <c r="D46" s="45" t="s">
        <v>314</v>
      </c>
      <c r="E46" s="45" t="s">
        <v>315</v>
      </c>
      <c r="F46" s="45" t="s">
        <v>316</v>
      </c>
      <c r="G46" s="45"/>
      <c r="H46" s="45"/>
      <c r="I46" s="45"/>
      <c r="K46" s="50"/>
      <c r="L46" s="50"/>
      <c r="M46" s="38"/>
      <c r="N46"/>
      <c r="P46"/>
      <c r="Y46" s="128" t="s">
        <v>317</v>
      </c>
      <c r="AA46" s="24" t="s">
        <v>306</v>
      </c>
      <c r="AB46" s="129">
        <v>99</v>
      </c>
      <c r="AC46" s="129">
        <v>109</v>
      </c>
      <c r="AD46" s="129">
        <v>113</v>
      </c>
      <c r="AE46" s="129">
        <v>116</v>
      </c>
      <c r="AF46" s="129">
        <v>118</v>
      </c>
      <c r="AG46" s="129">
        <v>121</v>
      </c>
      <c r="AH46" s="129">
        <v>123</v>
      </c>
      <c r="AI46" s="129">
        <v>126</v>
      </c>
    </row>
    <row r="47" spans="1:43" ht="15" x14ac:dyDescent="0.25">
      <c r="A47" s="28" t="s">
        <v>242</v>
      </c>
      <c r="B47" s="30" t="s">
        <v>318</v>
      </c>
      <c r="C47" s="45"/>
      <c r="D47" s="45"/>
      <c r="E47" s="45"/>
      <c r="F47" s="45"/>
      <c r="G47" s="45"/>
      <c r="H47" s="50"/>
      <c r="I47" s="50"/>
      <c r="K47" s="50"/>
      <c r="L47" s="50"/>
      <c r="M47" s="38"/>
      <c r="N47"/>
      <c r="P47"/>
      <c r="Y47"/>
      <c r="Z47" s="127" t="s">
        <v>319</v>
      </c>
      <c r="AA47" s="127" t="s">
        <v>311</v>
      </c>
      <c r="AB47" s="135">
        <v>99</v>
      </c>
      <c r="AC47" s="135">
        <v>93</v>
      </c>
      <c r="AD47" s="135">
        <v>83</v>
      </c>
      <c r="AE47" s="135">
        <v>74</v>
      </c>
      <c r="AF47" s="135">
        <v>68</v>
      </c>
      <c r="AG47" s="135">
        <v>64</v>
      </c>
      <c r="AH47" s="135">
        <v>62</v>
      </c>
      <c r="AI47" s="135">
        <v>60</v>
      </c>
    </row>
    <row r="48" spans="1:43" ht="15" x14ac:dyDescent="0.25">
      <c r="A48" s="28" t="s">
        <v>243</v>
      </c>
      <c r="B48" s="30" t="s">
        <v>320</v>
      </c>
      <c r="C48" s="45"/>
      <c r="D48" s="45"/>
      <c r="E48" s="45"/>
      <c r="F48" s="45"/>
      <c r="G48" s="45"/>
      <c r="H48" s="50"/>
      <c r="I48" s="50"/>
      <c r="K48" s="50"/>
      <c r="L48" s="50"/>
      <c r="M48" s="38"/>
      <c r="N48"/>
      <c r="P48"/>
      <c r="Y48" s="127" t="s">
        <v>321</v>
      </c>
      <c r="Z48"/>
      <c r="AA48" s="24" t="s">
        <v>306</v>
      </c>
      <c r="AB48" s="129">
        <v>4</v>
      </c>
      <c r="AC48" s="129">
        <v>7</v>
      </c>
      <c r="AD48" s="129">
        <v>8</v>
      </c>
      <c r="AE48" s="129">
        <v>8</v>
      </c>
      <c r="AF48" s="129">
        <v>9</v>
      </c>
      <c r="AG48" s="129">
        <v>9</v>
      </c>
      <c r="AH48" s="129">
        <v>9</v>
      </c>
      <c r="AI48" s="129">
        <v>10</v>
      </c>
    </row>
    <row r="49" spans="1:53" ht="15" x14ac:dyDescent="0.25">
      <c r="A49" s="28" t="s">
        <v>322</v>
      </c>
      <c r="B49" s="30" t="s">
        <v>323</v>
      </c>
      <c r="C49" s="45"/>
      <c r="D49" s="45"/>
      <c r="E49" s="45"/>
      <c r="F49" s="45"/>
      <c r="G49" s="45"/>
      <c r="H49" s="50"/>
      <c r="I49" s="50"/>
      <c r="K49" s="50"/>
      <c r="L49" s="50"/>
      <c r="M49" s="38"/>
      <c r="N49"/>
      <c r="P49"/>
      <c r="Y49"/>
      <c r="Z49" s="127" t="s">
        <v>324</v>
      </c>
      <c r="AA49" s="127" t="s">
        <v>311</v>
      </c>
      <c r="AB49" s="135">
        <v>4</v>
      </c>
      <c r="AC49" s="135">
        <v>7</v>
      </c>
      <c r="AD49" s="135">
        <v>8</v>
      </c>
      <c r="AE49" s="135">
        <v>8</v>
      </c>
      <c r="AF49" s="135">
        <v>8</v>
      </c>
      <c r="AG49" s="135">
        <v>7</v>
      </c>
      <c r="AH49" s="135">
        <v>7</v>
      </c>
      <c r="AI49" s="135">
        <v>7</v>
      </c>
    </row>
    <row r="50" spans="1:53" ht="15" x14ac:dyDescent="0.25">
      <c r="A50" s="130" t="s">
        <v>325</v>
      </c>
      <c r="B50" s="131" t="s">
        <v>308</v>
      </c>
      <c r="C50" s="45"/>
      <c r="D50" s="45"/>
      <c r="E50" s="45"/>
      <c r="F50" s="45"/>
      <c r="G50" s="45"/>
      <c r="H50" s="50"/>
      <c r="I50" s="50"/>
      <c r="K50" s="50"/>
      <c r="L50" s="50"/>
      <c r="M50" s="38"/>
      <c r="N50" s="38"/>
      <c r="Y50" s="127" t="s">
        <v>326</v>
      </c>
      <c r="Z50"/>
      <c r="AA50" s="24" t="s">
        <v>306</v>
      </c>
      <c r="AB50" s="129">
        <v>7</v>
      </c>
      <c r="AC50" s="129">
        <v>11</v>
      </c>
      <c r="AD50" s="129">
        <v>12</v>
      </c>
      <c r="AE50" s="129">
        <v>13</v>
      </c>
      <c r="AF50" s="129">
        <v>13</v>
      </c>
      <c r="AG50" s="129">
        <v>13</v>
      </c>
      <c r="AH50" s="129">
        <v>14</v>
      </c>
      <c r="AI50" s="129">
        <v>14</v>
      </c>
    </row>
    <row r="51" spans="1:53" ht="15" x14ac:dyDescent="0.25">
      <c r="A51" s="29" t="s">
        <v>327</v>
      </c>
      <c r="B51" s="30" t="s">
        <v>170</v>
      </c>
      <c r="C51" s="45"/>
      <c r="D51" s="45"/>
      <c r="E51" s="45"/>
      <c r="F51" s="45"/>
      <c r="G51" s="45"/>
      <c r="H51" s="50"/>
      <c r="I51" s="50"/>
      <c r="K51" s="50"/>
      <c r="L51" s="50"/>
      <c r="M51" s="38"/>
      <c r="N51" s="38"/>
      <c r="W51" t="s">
        <v>328</v>
      </c>
      <c r="X51">
        <v>0.5</v>
      </c>
      <c r="Z51" s="127" t="s">
        <v>324</v>
      </c>
      <c r="AA51" s="127" t="s">
        <v>311</v>
      </c>
      <c r="AB51" s="135">
        <v>7</v>
      </c>
      <c r="AC51" s="135">
        <v>10</v>
      </c>
      <c r="AD51" s="135">
        <v>10</v>
      </c>
      <c r="AE51" s="135">
        <v>10</v>
      </c>
      <c r="AF51" s="135">
        <v>9</v>
      </c>
      <c r="AG51" s="135">
        <v>9</v>
      </c>
      <c r="AH51" s="135">
        <v>9</v>
      </c>
      <c r="AI51" s="135">
        <v>8</v>
      </c>
    </row>
    <row r="52" spans="1:53" ht="15" x14ac:dyDescent="0.2">
      <c r="A52" s="29" t="s">
        <v>329</v>
      </c>
      <c r="B52" s="30" t="s">
        <v>168</v>
      </c>
      <c r="C52" s="45"/>
      <c r="D52" s="45"/>
      <c r="E52" s="45" t="s">
        <v>330</v>
      </c>
      <c r="F52" s="45"/>
      <c r="G52" s="45"/>
      <c r="H52" s="50"/>
      <c r="I52" s="50"/>
      <c r="K52" s="50"/>
      <c r="L52" s="50"/>
      <c r="M52" s="38"/>
      <c r="N52" s="38"/>
      <c r="Y52" s="127" t="s">
        <v>331</v>
      </c>
      <c r="AA52" s="24" t="s">
        <v>306</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324</v>
      </c>
      <c r="AA53" s="127" t="s">
        <v>311</v>
      </c>
      <c r="AB53" s="135">
        <v>11</v>
      </c>
      <c r="AC53" s="135">
        <v>12</v>
      </c>
      <c r="AD53" s="135">
        <v>12</v>
      </c>
      <c r="AE53" s="135">
        <v>12</v>
      </c>
      <c r="AF53" s="135">
        <v>12</v>
      </c>
      <c r="AG53" s="135">
        <v>12</v>
      </c>
      <c r="AH53" s="135">
        <v>11</v>
      </c>
      <c r="AI53" s="135">
        <v>11</v>
      </c>
    </row>
    <row r="54" spans="1:53" ht="15" x14ac:dyDescent="0.25">
      <c r="C54" s="39"/>
      <c r="D54" s="139" t="s">
        <v>332</v>
      </c>
      <c r="E54" s="141">
        <v>1</v>
      </c>
      <c r="H54" s="39"/>
      <c r="I54" s="39"/>
      <c r="J54" s="39"/>
      <c r="K54" s="38"/>
      <c r="Y54" t="s">
        <v>232</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333</v>
      </c>
      <c r="B55" s="298"/>
      <c r="C55" s="298"/>
      <c r="D55" s="298" t="s">
        <v>334</v>
      </c>
      <c r="E55" s="298"/>
      <c r="F55" s="298"/>
      <c r="G55" s="298"/>
      <c r="H55" s="298"/>
      <c r="I55" s="298"/>
      <c r="J55" s="298"/>
      <c r="K55" s="388"/>
      <c r="L55" s="298"/>
      <c r="M55" s="298"/>
      <c r="N55" s="298"/>
      <c r="O55" s="298"/>
      <c r="P55" s="298"/>
      <c r="Q55" s="298"/>
      <c r="R55" s="298"/>
      <c r="S55" s="298"/>
      <c r="T55" s="298"/>
      <c r="U55" s="298"/>
      <c r="V55" s="298"/>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90" t="s">
        <v>335</v>
      </c>
      <c r="B56" s="388" t="s">
        <v>336</v>
      </c>
      <c r="C56" s="388" t="s">
        <v>337</v>
      </c>
      <c r="D56" s="388" t="s">
        <v>338</v>
      </c>
      <c r="E56" s="388" t="str">
        <f>"COST"&amp;$E$52&amp;E57</f>
        <v>COST~0</v>
      </c>
      <c r="F56" s="388" t="str">
        <f t="shared" ref="F56:I56" si="15">"COST"&amp;$E$52&amp;F57</f>
        <v>COST~2017</v>
      </c>
      <c r="G56" s="388" t="str">
        <f t="shared" si="15"/>
        <v>COST~2021</v>
      </c>
      <c r="H56" s="388" t="str">
        <f t="shared" si="15"/>
        <v>COST~2030</v>
      </c>
      <c r="I56" s="388" t="str">
        <f t="shared" si="15"/>
        <v>COST~2050</v>
      </c>
      <c r="J56" s="388" t="str">
        <f>"BNDACT~UP"&amp;$E$52&amp;J57</f>
        <v>BNDACT~UP~0</v>
      </c>
      <c r="K56" s="388" t="str">
        <f t="shared" ref="K56:O56" si="16">"BNDACT~UP"&amp;$E$52&amp;K57</f>
        <v>BNDACT~UP~2017</v>
      </c>
      <c r="L56" s="388" t="str">
        <f t="shared" si="16"/>
        <v>BNDACT~UP~2021</v>
      </c>
      <c r="M56" s="388" t="str">
        <f t="shared" si="16"/>
        <v>BNDACT~UP~2021</v>
      </c>
      <c r="N56" s="388" t="str">
        <f t="shared" si="16"/>
        <v>BNDACT~UP~2030</v>
      </c>
      <c r="O56" s="388" t="str">
        <f t="shared" si="16"/>
        <v>BNDACT~UP~2050</v>
      </c>
      <c r="P56" s="388" t="s">
        <v>339</v>
      </c>
      <c r="Q56" s="388" t="s">
        <v>340</v>
      </c>
      <c r="R56" s="389" t="s">
        <v>1052</v>
      </c>
      <c r="S56" s="389" t="s">
        <v>1053</v>
      </c>
      <c r="T56" s="145" t="s">
        <v>341</v>
      </c>
      <c r="U56" s="145" t="s">
        <v>342</v>
      </c>
      <c r="V56" s="145"/>
      <c r="W56" s="145"/>
      <c r="X56" s="145"/>
      <c r="Y56" s="145" t="s">
        <v>343</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5"/>
      <c r="AS56" s="415"/>
      <c r="AT56" s="415"/>
      <c r="AU56" s="415"/>
      <c r="AV56" s="415"/>
      <c r="AW56" s="415"/>
      <c r="AX56" s="415"/>
    </row>
    <row r="57" spans="1:53" ht="25.5" x14ac:dyDescent="0.2">
      <c r="A57" s="147" t="s">
        <v>344</v>
      </c>
      <c r="B57" s="147" t="s">
        <v>345</v>
      </c>
      <c r="C57" s="147" t="s">
        <v>346</v>
      </c>
      <c r="D57" s="145" t="s">
        <v>347</v>
      </c>
      <c r="E57" s="145">
        <v>0</v>
      </c>
      <c r="F57" s="148">
        <v>2017</v>
      </c>
      <c r="G57" s="148">
        <v>2021</v>
      </c>
      <c r="H57" s="148">
        <v>2030</v>
      </c>
      <c r="I57" s="148">
        <v>2050</v>
      </c>
      <c r="J57" s="148">
        <v>0</v>
      </c>
      <c r="K57" s="148">
        <v>2017</v>
      </c>
      <c r="L57" s="148">
        <f>G57</f>
        <v>2021</v>
      </c>
      <c r="M57" s="148">
        <v>2021</v>
      </c>
      <c r="N57" s="148">
        <f>H57</f>
        <v>2030</v>
      </c>
      <c r="O57" s="148">
        <f>I57</f>
        <v>2050</v>
      </c>
      <c r="P57" s="148"/>
      <c r="Q57" s="148" t="s">
        <v>241</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6"/>
      <c r="AT57" s="415"/>
      <c r="AU57" s="415"/>
      <c r="AV57" s="415"/>
      <c r="AW57" s="415"/>
      <c r="AX57" s="415"/>
      <c r="AZ57" s="42"/>
      <c r="BA57" s="42"/>
    </row>
    <row r="58" spans="1:53" s="66" customFormat="1" ht="13.5" thickBot="1" x14ac:dyDescent="0.25">
      <c r="A58" s="66" t="s">
        <v>348</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349</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81">
        <f>FugitiveEmissions!V140</f>
        <v>3.4182298104635631E-3</v>
      </c>
      <c r="S60" s="381">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81">
        <f>FugitiveEmissions!V135</f>
        <v>3.9065483548155009E-3</v>
      </c>
      <c r="S61" s="381">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NameConv!C35</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NameConv!C26</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NameConv!C24</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350</v>
      </c>
      <c r="B66" s="30" t="str">
        <f>$B$46&amp;D66</f>
        <v>MINGAS</v>
      </c>
      <c r="D66" s="159" t="str">
        <f>NameConv!C18</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NameConv!C25</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351</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NameConv!C44</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NameConv!C31</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NameConv!C42</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NameConv!C43</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352</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1201</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NameConv!C21</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"IMP"&amp;NameConv!C22</f>
        <v>IMPGWL</v>
      </c>
      <c r="D81" s="159" t="str">
        <f>NameConv!C22</f>
        <v>GWL</v>
      </c>
      <c r="E81" s="30">
        <v>0</v>
      </c>
      <c r="F81" s="82">
        <f t="shared" si="34"/>
        <v>161.99406306773304</v>
      </c>
      <c r="G81" s="82">
        <f t="shared" si="34"/>
        <v>166.73449081753554</v>
      </c>
      <c r="H81" s="82">
        <f t="shared" si="34"/>
        <v>136.92568749999998</v>
      </c>
      <c r="I81" s="82">
        <f t="shared" si="34"/>
        <v>125.00216617298578</v>
      </c>
      <c r="J81" s="82" t="s">
        <v>254</v>
      </c>
      <c r="K81" s="82" t="s">
        <v>254</v>
      </c>
      <c r="L81" s="82" t="s">
        <v>254</v>
      </c>
      <c r="M81"/>
      <c r="N81" t="s">
        <v>254</v>
      </c>
      <c r="O81" t="s">
        <v>254</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1201</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NameConv!C33</f>
        <v>NUC</v>
      </c>
      <c r="E83" s="30">
        <v>0</v>
      </c>
      <c r="F83" s="82">
        <v>8.1288130107613874</v>
      </c>
      <c r="G83" s="82">
        <f>F83</f>
        <v>8.1288130107613874</v>
      </c>
      <c r="H83" s="82">
        <f>G83</f>
        <v>8.1288130107613874</v>
      </c>
      <c r="I83" s="82">
        <f>H83</f>
        <v>8.1288130107613874</v>
      </c>
      <c r="J83" s="82">
        <v>0</v>
      </c>
      <c r="K83" s="82">
        <f t="shared" ref="K83:K88" si="37">SUMIF($C$8:$AZ$8,D83,$C$11:$AZ$11)</f>
        <v>170.374545454545</v>
      </c>
      <c r="L83" s="82"/>
      <c r="M83"/>
      <c r="N83"/>
      <c r="O83"/>
      <c r="P83"/>
      <c r="Q83" t="str">
        <f t="shared" si="32"/>
        <v/>
      </c>
      <c r="T83" s="161" t="s">
        <v>353</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NameConv!C34</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NameConv!C35</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NameConv!C36</f>
        <v>ODS</v>
      </c>
      <c r="E86" s="30">
        <v>0</v>
      </c>
      <c r="F86" s="82">
        <f t="shared" si="39"/>
        <v>236.56389169057414</v>
      </c>
      <c r="G86" s="82">
        <f t="shared" si="39"/>
        <v>244.65407088700817</v>
      </c>
      <c r="H86" s="82">
        <f t="shared" si="39"/>
        <v>197.04374196302354</v>
      </c>
      <c r="I86" s="82">
        <f t="shared" si="39"/>
        <v>177.99961039342966</v>
      </c>
      <c r="J86" s="82">
        <v>0</v>
      </c>
      <c r="K86" s="82">
        <f t="shared" si="37"/>
        <v>140.06492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NameConv!C37</f>
        <v>OGS</v>
      </c>
      <c r="E87" s="30">
        <v>0</v>
      </c>
      <c r="F87" s="82">
        <f t="shared" si="39"/>
        <v>247.03405739193275</v>
      </c>
      <c r="G87" s="82">
        <f t="shared" si="39"/>
        <v>253.06623635843414</v>
      </c>
      <c r="H87" s="82">
        <f t="shared" si="39"/>
        <v>205.1838409114628</v>
      </c>
      <c r="I87" s="82">
        <f t="shared" si="39"/>
        <v>186.03088273267423</v>
      </c>
      <c r="J87" s="82">
        <v>0</v>
      </c>
      <c r="K87" s="82">
        <f t="shared" si="37"/>
        <v>63.331960000000002</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NameConv!C38</f>
        <v>OHF</v>
      </c>
      <c r="E88" s="30">
        <v>0</v>
      </c>
      <c r="F88" s="82">
        <f t="shared" si="39"/>
        <v>196.45298120195667</v>
      </c>
      <c r="G88" s="82">
        <f t="shared" si="39"/>
        <v>202.68138113207547</v>
      </c>
      <c r="H88" s="82">
        <f t="shared" si="39"/>
        <v>163.51589685534591</v>
      </c>
      <c r="I88" s="82">
        <f t="shared" si="39"/>
        <v>147.84970314465409</v>
      </c>
      <c r="J88" s="82">
        <v>0</v>
      </c>
      <c r="K88" s="82">
        <f t="shared" si="37"/>
        <v>4.206396917894736</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NameConv!C40</f>
        <v>OLP</v>
      </c>
      <c r="E89" s="30">
        <v>0</v>
      </c>
      <c r="F89" s="82">
        <f t="shared" si="39"/>
        <v>376.62224144497708</v>
      </c>
      <c r="G89" s="82">
        <f t="shared" si="39"/>
        <v>382.94989907290471</v>
      </c>
      <c r="H89" s="82">
        <f t="shared" si="39"/>
        <v>343.16026158724605</v>
      </c>
      <c r="I89" s="82">
        <f t="shared" si="39"/>
        <v>327.24440659298261</v>
      </c>
      <c r="J89" s="82">
        <v>0</v>
      </c>
      <c r="K89" s="82">
        <f>0.66+0.56+1.22/0.79+0.57/0.65</f>
        <v>3.6412268743914313</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NameConv!C39</f>
        <v>OKE</v>
      </c>
      <c r="E90" s="30">
        <v>0</v>
      </c>
      <c r="F90" s="82">
        <f t="shared" si="39"/>
        <v>243.45484454706207</v>
      </c>
      <c r="G90" s="82">
        <f t="shared" si="39"/>
        <v>250.76740309449676</v>
      </c>
      <c r="H90" s="82">
        <f t="shared" si="39"/>
        <v>204.78450218486375</v>
      </c>
      <c r="I90" s="82">
        <f t="shared" si="39"/>
        <v>186.39134182101057</v>
      </c>
      <c r="J90" s="82">
        <v>0</v>
      </c>
      <c r="K90" s="82">
        <f>SUMIF($C$8:$AZ$8,D90,$C$11:$AZ$11)</f>
        <v>9.3231960462962959</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354</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NameConv!C19</f>
        <v>GRS</v>
      </c>
      <c r="E94" s="30">
        <v>0</v>
      </c>
      <c r="F94" s="82">
        <v>70</v>
      </c>
      <c r="G94" s="82">
        <v>120</v>
      </c>
      <c r="H94" s="82">
        <f>G94</f>
        <v>120</v>
      </c>
      <c r="I94" s="82">
        <f>H94</f>
        <v>120</v>
      </c>
      <c r="J94" s="82">
        <v>3</v>
      </c>
      <c r="K94" s="82">
        <v>116</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NameConv!C23</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355</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5">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NameConv!C34</f>
        <v>OAG</v>
      </c>
      <c r="E99" s="30">
        <v>0</v>
      </c>
      <c r="F99" s="82">
        <f t="shared" ref="F99:I99" si="45">F102</f>
        <v>-234.68235452233611</v>
      </c>
      <c r="G99" s="82">
        <f t="shared" si="45"/>
        <v>-240.41292454051242</v>
      </c>
      <c r="H99" s="82">
        <f t="shared" si="45"/>
        <v>-194.92464886588965</v>
      </c>
      <c r="I99" s="82">
        <f t="shared" si="45"/>
        <v>-176.72933859604052</v>
      </c>
      <c r="J99" s="82">
        <v>0</v>
      </c>
      <c r="K99" s="395">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NameConv!C35</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5">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NameConv!C36</f>
        <v>ODS</v>
      </c>
      <c r="E101" s="30">
        <v>0</v>
      </c>
      <c r="F101" s="82">
        <f t="shared" si="46"/>
        <v>-224.73569710604542</v>
      </c>
      <c r="G101" s="82">
        <f t="shared" si="46"/>
        <v>-232.42136734265776</v>
      </c>
      <c r="H101" s="82">
        <f t="shared" si="46"/>
        <v>-187.19155486487236</v>
      </c>
      <c r="I101" s="82">
        <f t="shared" si="46"/>
        <v>-169.09962987375818</v>
      </c>
      <c r="J101" s="82">
        <v>0</v>
      </c>
      <c r="K101" s="395">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NameConv!C37</f>
        <v>OGS</v>
      </c>
      <c r="E102" s="30">
        <v>0</v>
      </c>
      <c r="F102" s="82">
        <f t="shared" si="46"/>
        <v>-234.68235452233611</v>
      </c>
      <c r="G102" s="82">
        <f t="shared" si="46"/>
        <v>-240.41292454051242</v>
      </c>
      <c r="H102" s="82">
        <f t="shared" si="46"/>
        <v>-194.92464886588965</v>
      </c>
      <c r="I102" s="82">
        <f t="shared" si="46"/>
        <v>-176.72933859604052</v>
      </c>
      <c r="J102" s="82">
        <v>0</v>
      </c>
      <c r="K102" s="395">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NameConv!C38</f>
        <v>OHF</v>
      </c>
      <c r="E103" s="30">
        <v>0</v>
      </c>
      <c r="F103" s="82">
        <f t="shared" si="46"/>
        <v>-186.63033214185884</v>
      </c>
      <c r="G103" s="82">
        <f t="shared" si="46"/>
        <v>-192.54731207547169</v>
      </c>
      <c r="H103" s="82">
        <f t="shared" si="46"/>
        <v>-155.3401020125786</v>
      </c>
      <c r="I103" s="82">
        <f t="shared" si="46"/>
        <v>-140.45721798742139</v>
      </c>
      <c r="J103" s="82">
        <v>0</v>
      </c>
      <c r="K103" s="395"/>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NameConv!C39</f>
        <v>OKE</v>
      </c>
      <c r="E104" s="30">
        <v>0</v>
      </c>
      <c r="F104" s="82">
        <f t="shared" si="46"/>
        <v>-231.28210231970894</v>
      </c>
      <c r="G104" s="82">
        <f t="shared" si="46"/>
        <v>-238.22903293977191</v>
      </c>
      <c r="H104" s="82">
        <f t="shared" si="46"/>
        <v>-194.54527707562056</v>
      </c>
      <c r="I104" s="82">
        <f t="shared" si="46"/>
        <v>-177.07177472996003</v>
      </c>
      <c r="J104" s="82">
        <v>0</v>
      </c>
      <c r="K104" s="395">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357</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400" t="s">
        <v>1234</v>
      </c>
      <c r="C1" s="400"/>
      <c r="D1" s="37"/>
      <c r="E1" s="37"/>
      <c r="F1" s="29"/>
      <c r="G1" s="36"/>
      <c r="H1" s="36"/>
      <c r="I1" s="36"/>
    </row>
    <row r="2" spans="1:17" ht="13.5" thickTop="1" x14ac:dyDescent="0.2">
      <c r="A2" s="30"/>
      <c r="B2" s="38"/>
      <c r="C2" s="38"/>
      <c r="D2" s="38"/>
      <c r="E2" s="38"/>
      <c r="F2" s="30"/>
      <c r="G2" s="38"/>
      <c r="H2" s="38"/>
      <c r="I2" s="38"/>
      <c r="J2" s="30" t="s">
        <v>1226</v>
      </c>
      <c r="K2" s="38">
        <f>SUP!F15</f>
        <v>16.45</v>
      </c>
      <c r="L2" s="38"/>
    </row>
    <row r="3" spans="1:17" ht="15" x14ac:dyDescent="0.25">
      <c r="A3" s="298"/>
      <c r="B3" s="298"/>
      <c r="C3" s="298"/>
      <c r="D3" s="298" t="s">
        <v>334</v>
      </c>
      <c r="E3" s="298"/>
      <c r="F3" s="298"/>
      <c r="G3" s="298"/>
      <c r="H3" s="298"/>
      <c r="I3" s="298"/>
      <c r="J3" s="298"/>
      <c r="K3" s="298"/>
      <c r="L3" s="298"/>
      <c r="M3" s="298"/>
      <c r="N3" s="298"/>
      <c r="O3" s="298"/>
      <c r="P3" s="298"/>
    </row>
    <row r="4" spans="1:17" ht="42.75" customHeight="1" x14ac:dyDescent="0.25">
      <c r="A4" s="390" t="s">
        <v>335</v>
      </c>
      <c r="B4" s="388" t="s">
        <v>336</v>
      </c>
      <c r="C4" s="388" t="s">
        <v>337</v>
      </c>
      <c r="D4" s="388" t="s">
        <v>338</v>
      </c>
      <c r="E4" s="388" t="s">
        <v>131</v>
      </c>
      <c r="F4" s="388" t="s">
        <v>654</v>
      </c>
      <c r="G4" s="390" t="s">
        <v>1175</v>
      </c>
      <c r="H4" s="390" t="s">
        <v>1176</v>
      </c>
      <c r="I4" s="388" t="s">
        <v>1182</v>
      </c>
      <c r="J4" s="388" t="s">
        <v>1161</v>
      </c>
      <c r="K4" s="388" t="s">
        <v>655</v>
      </c>
      <c r="L4" s="388" t="s">
        <v>1183</v>
      </c>
      <c r="M4" s="388" t="s">
        <v>1160</v>
      </c>
      <c r="N4" s="388" t="s">
        <v>1162</v>
      </c>
      <c r="O4" s="298" t="s">
        <v>1232</v>
      </c>
      <c r="P4" s="298" t="s">
        <v>1233</v>
      </c>
      <c r="Q4" s="28" t="s">
        <v>1177</v>
      </c>
    </row>
    <row r="5" spans="1:17" ht="26.25" thickBot="1" x14ac:dyDescent="0.25">
      <c r="A5" s="66" t="s">
        <v>348</v>
      </c>
      <c r="B5" s="150"/>
      <c r="C5" s="150"/>
      <c r="D5" s="150"/>
      <c r="E5" s="401" t="s">
        <v>876</v>
      </c>
      <c r="F5" s="401" t="s">
        <v>1158</v>
      </c>
      <c r="G5" s="140" t="s">
        <v>1157</v>
      </c>
      <c r="H5" s="140" t="s">
        <v>1157</v>
      </c>
      <c r="I5" s="140"/>
      <c r="J5" s="140"/>
      <c r="K5" s="140" t="s">
        <v>1225</v>
      </c>
      <c r="L5" s="140"/>
      <c r="M5" s="140" t="s">
        <v>876</v>
      </c>
      <c r="N5" s="151"/>
      <c r="O5" s="151"/>
      <c r="P5" s="151"/>
    </row>
    <row r="6" spans="1:17" x14ac:dyDescent="0.2">
      <c r="A6" s="163" t="s">
        <v>877</v>
      </c>
      <c r="B6" s="157" t="s">
        <v>1170</v>
      </c>
      <c r="C6" s="28" t="s">
        <v>178</v>
      </c>
      <c r="D6" s="28" t="s">
        <v>188</v>
      </c>
      <c r="E6" s="396">
        <f>R19</f>
        <v>10</v>
      </c>
      <c r="F6" s="167">
        <v>0.96</v>
      </c>
      <c r="G6" s="398">
        <f>J19</f>
        <v>0.5</v>
      </c>
      <c r="H6" s="167"/>
      <c r="I6" s="167">
        <f>L19/24</f>
        <v>4.7222222222222232</v>
      </c>
      <c r="J6" s="396">
        <v>2027</v>
      </c>
      <c r="K6" s="398">
        <f>N19*$K$2</f>
        <v>253.79999999999995</v>
      </c>
      <c r="L6" s="398">
        <f>P19*$K$2</f>
        <v>154.39499999999998</v>
      </c>
      <c r="M6" s="396">
        <v>-2</v>
      </c>
      <c r="N6" s="160"/>
      <c r="O6" s="381">
        <f>K19</f>
        <v>9.7222222222222232</v>
      </c>
    </row>
    <row r="7" spans="1:17" x14ac:dyDescent="0.2">
      <c r="A7" s="163" t="s">
        <v>875</v>
      </c>
      <c r="B7" s="157" t="s">
        <v>1169</v>
      </c>
      <c r="C7" s="28" t="s">
        <v>178</v>
      </c>
      <c r="D7" s="28" t="s">
        <v>188</v>
      </c>
      <c r="E7" s="396">
        <f>R20</f>
        <v>50</v>
      </c>
      <c r="F7" s="167">
        <v>0.96</v>
      </c>
      <c r="G7" s="398">
        <f>J20</f>
        <v>0.9</v>
      </c>
      <c r="H7" s="167"/>
      <c r="I7" s="167">
        <f>L20/24</f>
        <v>8.0000000000000018</v>
      </c>
      <c r="J7" s="396">
        <v>2030</v>
      </c>
      <c r="K7" s="398">
        <f>N20*$K$2</f>
        <v>1727.1936000000001</v>
      </c>
      <c r="L7" s="398">
        <f>P20*$K$2</f>
        <v>34.543872</v>
      </c>
      <c r="M7" s="396">
        <v>-4</v>
      </c>
      <c r="N7" s="160"/>
      <c r="O7" s="381">
        <f>K20</f>
        <v>12.152777777777777</v>
      </c>
    </row>
    <row r="8" spans="1:17" x14ac:dyDescent="0.2">
      <c r="A8" s="163"/>
      <c r="B8" s="157"/>
      <c r="E8" s="164"/>
      <c r="F8" s="164"/>
      <c r="G8" s="164"/>
      <c r="H8" s="164"/>
      <c r="I8" s="164"/>
      <c r="J8" s="164"/>
      <c r="K8" s="164"/>
      <c r="L8" s="167"/>
      <c r="M8" s="160"/>
    </row>
    <row r="17" spans="1:22" ht="15" x14ac:dyDescent="0.25">
      <c r="A17"/>
      <c r="B17" t="s">
        <v>1214</v>
      </c>
      <c r="C17"/>
      <c r="D17"/>
      <c r="E17" t="s">
        <v>1218</v>
      </c>
      <c r="F17"/>
      <c r="G17"/>
      <c r="H17"/>
      <c r="I17" t="s">
        <v>673</v>
      </c>
      <c r="J17" t="s">
        <v>1220</v>
      </c>
      <c r="K17" t="s">
        <v>911</v>
      </c>
      <c r="L17" t="s">
        <v>1191</v>
      </c>
      <c r="M17" t="s">
        <v>1221</v>
      </c>
      <c r="O17" t="s">
        <v>940</v>
      </c>
      <c r="Q17" t="s">
        <v>1224</v>
      </c>
      <c r="R17" t="s">
        <v>131</v>
      </c>
      <c r="S17" s="28" t="s">
        <v>1202</v>
      </c>
      <c r="T17" s="28" t="s">
        <v>1228</v>
      </c>
      <c r="U17" t="s">
        <v>1188</v>
      </c>
    </row>
    <row r="18" spans="1:22" ht="15" x14ac:dyDescent="0.25">
      <c r="A18"/>
      <c r="B18" t="s">
        <v>1215</v>
      </c>
      <c r="C18" t="s">
        <v>241</v>
      </c>
      <c r="D18" t="s">
        <v>714</v>
      </c>
      <c r="E18" t="s">
        <v>1217</v>
      </c>
      <c r="F18" t="s">
        <v>1213</v>
      </c>
      <c r="G18" t="s">
        <v>1184</v>
      </c>
      <c r="H18" t="s">
        <v>1222</v>
      </c>
      <c r="I18" t="s">
        <v>1219</v>
      </c>
      <c r="J18"/>
      <c r="K18" t="s">
        <v>1027</v>
      </c>
      <c r="L18"/>
      <c r="M18" t="s">
        <v>1186</v>
      </c>
      <c r="N18" s="28" t="s">
        <v>1190</v>
      </c>
      <c r="O18" t="s">
        <v>1223</v>
      </c>
      <c r="P18" s="28" t="s">
        <v>1227</v>
      </c>
      <c r="Q18"/>
      <c r="T18" s="28" t="s">
        <v>1186</v>
      </c>
      <c r="U18" t="s">
        <v>1185</v>
      </c>
      <c r="V18" s="28" t="s">
        <v>873</v>
      </c>
    </row>
    <row r="19" spans="1:22" ht="15" x14ac:dyDescent="0.25">
      <c r="A19" t="s">
        <v>267</v>
      </c>
      <c r="B19" s="290">
        <v>170000</v>
      </c>
      <c r="C19" s="300">
        <f>B19*C$22</f>
        <v>3.9666666666666672</v>
      </c>
      <c r="D19">
        <f>C19/3.6*1000</f>
        <v>1101.8518518518522</v>
      </c>
      <c r="E19">
        <v>800</v>
      </c>
      <c r="F19">
        <f>365/2</f>
        <v>182.5</v>
      </c>
      <c r="G19">
        <f>E19*F19*1.05/1000</f>
        <v>153.30000000000001</v>
      </c>
      <c r="H19" s="57">
        <f>G19/48</f>
        <v>3.1937500000000001</v>
      </c>
      <c r="I19" s="258">
        <f>G19/38.2</f>
        <v>4.0130890052356021</v>
      </c>
      <c r="J19">
        <f>F19/365</f>
        <v>0.5</v>
      </c>
      <c r="K19" s="258">
        <f>G19/31.536/J19</f>
        <v>9.7222222222222232</v>
      </c>
      <c r="L19" s="82">
        <f>D19/K19</f>
        <v>113.33333333333336</v>
      </c>
      <c r="M19">
        <v>150</v>
      </c>
      <c r="N19" s="125">
        <f>M19/K19</f>
        <v>15.428571428571427</v>
      </c>
      <c r="O19">
        <f>0.25*365</f>
        <v>91.25</v>
      </c>
      <c r="P19" s="125">
        <f>O19/K19</f>
        <v>9.3857142857142843</v>
      </c>
      <c r="Q19" s="334">
        <v>8.2000000000000003E-2</v>
      </c>
      <c r="R19">
        <v>10</v>
      </c>
      <c r="S19" s="413">
        <f>-PMT(Q19,R19,1,0,1)</f>
        <v>0.13898026228355856</v>
      </c>
      <c r="T19" s="125">
        <f>M19*S19+O19</f>
        <v>112.09703934253378</v>
      </c>
      <c r="U19" s="72">
        <f>T19/G19</f>
        <v>0.73122661019265345</v>
      </c>
      <c r="V19" s="125">
        <f>U19*$K$2</f>
        <v>12.028677737669149</v>
      </c>
    </row>
    <row r="20" spans="1:22" ht="15" x14ac:dyDescent="0.25">
      <c r="A20" t="s">
        <v>266</v>
      </c>
      <c r="B20" s="290">
        <v>360000</v>
      </c>
      <c r="C20" s="300">
        <f>B20*C$22</f>
        <v>8.4</v>
      </c>
      <c r="D20">
        <f>C20/3.6*1000</f>
        <v>2333.3333333333335</v>
      </c>
      <c r="E20">
        <v>1000</v>
      </c>
      <c r="F20">
        <f>365*0.9</f>
        <v>328.5</v>
      </c>
      <c r="G20">
        <f>E20*F20*1.05/1000</f>
        <v>344.92500000000001</v>
      </c>
      <c r="H20" s="57">
        <f>G20/48</f>
        <v>7.1859375000000005</v>
      </c>
      <c r="I20" s="258">
        <f>G20/38.2</f>
        <v>9.029450261780104</v>
      </c>
      <c r="J20">
        <f>F20/365</f>
        <v>0.9</v>
      </c>
      <c r="K20" s="258">
        <f>G20/31.536/J20</f>
        <v>12.152777777777777</v>
      </c>
      <c r="L20" s="82">
        <f>D20/K20</f>
        <v>192.00000000000003</v>
      </c>
      <c r="M20">
        <f>1100*1.16</f>
        <v>1276</v>
      </c>
      <c r="N20">
        <f>M20/K20</f>
        <v>104.99657142857144</v>
      </c>
      <c r="O20">
        <f>2%*M20</f>
        <v>25.52</v>
      </c>
      <c r="P20" s="82">
        <f>O20/K20</f>
        <v>2.0999314285714288</v>
      </c>
      <c r="Q20" s="334">
        <v>8.2000000000000003E-2</v>
      </c>
      <c r="R20">
        <v>50</v>
      </c>
      <c r="S20" s="413">
        <f>-PMT(Q20,R20,1,0,1)</f>
        <v>7.7287852981086286E-2</v>
      </c>
      <c r="T20" s="125">
        <f>M20*S20+O20</f>
        <v>124.1393004038661</v>
      </c>
      <c r="U20" s="72">
        <f>T20/G20</f>
        <v>0.35990229877180863</v>
      </c>
      <c r="V20" s="125">
        <f>U20*$K$2</f>
        <v>5.9203928147962515</v>
      </c>
    </row>
    <row r="21" spans="1:22" ht="15" x14ac:dyDescent="0.25">
      <c r="A21"/>
      <c r="B21"/>
      <c r="C21" t="s">
        <v>1216</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3"/>
    </row>
    <row r="28" spans="1:22" x14ac:dyDescent="0.2">
      <c r="A28" s="28" t="s">
        <v>1229</v>
      </c>
      <c r="B28" s="28" t="s">
        <v>1189</v>
      </c>
      <c r="L28" s="28" t="s">
        <v>1231</v>
      </c>
    </row>
    <row r="30" spans="1:22" x14ac:dyDescent="0.2">
      <c r="C30" s="125"/>
    </row>
    <row r="43" spans="2:2" x14ac:dyDescent="0.2">
      <c r="B43" s="28" t="s">
        <v>1230</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tabColor theme="4"/>
  </sheetPr>
  <dimension ref="A1:R38"/>
  <sheetViews>
    <sheetView tabSelected="1"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400" t="s">
        <v>1235</v>
      </c>
      <c r="C1" s="400"/>
      <c r="D1" s="37"/>
      <c r="E1" s="37"/>
      <c r="F1" s="29"/>
      <c r="G1" s="36"/>
      <c r="H1" s="36"/>
    </row>
    <row r="2" spans="1:18" ht="13.5" thickTop="1" x14ac:dyDescent="0.2">
      <c r="A2" s="30"/>
      <c r="B2" s="38"/>
      <c r="C2" s="38"/>
      <c r="D2" s="38"/>
      <c r="E2" s="38"/>
      <c r="F2" s="30"/>
      <c r="G2" s="38"/>
      <c r="H2" s="38"/>
      <c r="I2" s="30" t="s">
        <v>1226</v>
      </c>
      <c r="J2" s="38">
        <f>SUP!F15</f>
        <v>16.45</v>
      </c>
      <c r="K2" s="38"/>
    </row>
    <row r="3" spans="1:18" ht="15" x14ac:dyDescent="0.25">
      <c r="A3" s="298"/>
      <c r="B3" s="298"/>
      <c r="C3" s="298"/>
      <c r="D3" s="298" t="s">
        <v>334</v>
      </c>
      <c r="E3" s="298"/>
      <c r="F3" s="298"/>
      <c r="G3" s="298"/>
      <c r="H3" s="298"/>
      <c r="I3" s="298"/>
      <c r="J3" s="298"/>
      <c r="K3" s="298"/>
      <c r="L3" s="298"/>
      <c r="M3" s="298"/>
      <c r="N3" s="298"/>
      <c r="O3" s="298"/>
      <c r="P3" s="298"/>
      <c r="Q3" s="298"/>
    </row>
    <row r="4" spans="1:18" ht="42.75" customHeight="1" x14ac:dyDescent="0.25">
      <c r="A4" s="390" t="s">
        <v>335</v>
      </c>
      <c r="B4" s="388" t="s">
        <v>336</v>
      </c>
      <c r="C4" s="388" t="s">
        <v>337</v>
      </c>
      <c r="D4" s="388" t="s">
        <v>338</v>
      </c>
      <c r="E4" s="388" t="s">
        <v>131</v>
      </c>
      <c r="F4" s="388" t="s">
        <v>654</v>
      </c>
      <c r="G4" s="390" t="s">
        <v>1175</v>
      </c>
      <c r="H4" s="390" t="s">
        <v>1176</v>
      </c>
      <c r="I4" s="388" t="s">
        <v>1161</v>
      </c>
      <c r="J4" s="388" t="s">
        <v>655</v>
      </c>
      <c r="K4" s="388" t="s">
        <v>1183</v>
      </c>
      <c r="L4" s="388" t="s">
        <v>1160</v>
      </c>
      <c r="M4" s="388" t="s">
        <v>1162</v>
      </c>
      <c r="N4" s="298" t="str">
        <f>"NCAP_BND~"&amp;N5</f>
        <v>NCAP_BND~0</v>
      </c>
      <c r="O4" s="298" t="s">
        <v>1159</v>
      </c>
      <c r="P4" s="298" t="s">
        <v>1232</v>
      </c>
      <c r="Q4" s="298" t="s">
        <v>1233</v>
      </c>
      <c r="R4" s="28" t="s">
        <v>1177</v>
      </c>
    </row>
    <row r="5" spans="1:18" ht="26.25" thickBot="1" x14ac:dyDescent="0.25">
      <c r="A5" s="66" t="s">
        <v>348</v>
      </c>
      <c r="B5" s="150"/>
      <c r="C5" s="150"/>
      <c r="D5" s="150"/>
      <c r="E5" s="401" t="s">
        <v>876</v>
      </c>
      <c r="F5" s="401" t="s">
        <v>1158</v>
      </c>
      <c r="G5" s="140" t="s">
        <v>1157</v>
      </c>
      <c r="H5" s="140" t="s">
        <v>1157</v>
      </c>
      <c r="I5" s="140"/>
      <c r="J5" s="140" t="s">
        <v>1156</v>
      </c>
      <c r="K5" s="140"/>
      <c r="L5" s="140" t="s">
        <v>876</v>
      </c>
      <c r="M5" s="151"/>
      <c r="N5" s="151">
        <v>0</v>
      </c>
      <c r="O5" s="151">
        <v>0</v>
      </c>
      <c r="P5" s="151"/>
      <c r="Q5" s="151"/>
    </row>
    <row r="6" spans="1:18" ht="15" x14ac:dyDescent="0.25">
      <c r="A6" s="163" t="s">
        <v>1171</v>
      </c>
      <c r="B6" s="157" t="s">
        <v>1172</v>
      </c>
      <c r="C6" s="28" t="s">
        <v>188</v>
      </c>
      <c r="D6" s="28" t="s">
        <v>172</v>
      </c>
      <c r="E6" s="396">
        <v>80</v>
      </c>
      <c r="F6" s="399">
        <v>0.99</v>
      </c>
      <c r="G6" s="398">
        <v>0.9</v>
      </c>
      <c r="H6" s="398">
        <v>0.5</v>
      </c>
      <c r="I6" s="396">
        <v>2027</v>
      </c>
      <c r="J6" s="402">
        <f>785*1.16*J2/160</f>
        <v>93.621062499999979</v>
      </c>
      <c r="K6" s="402"/>
      <c r="L6" s="396">
        <v>-4</v>
      </c>
      <c r="M6" s="160"/>
      <c r="P6" s="28">
        <v>160</v>
      </c>
    </row>
    <row r="7" spans="1:18" x14ac:dyDescent="0.2">
      <c r="A7" s="163" t="s">
        <v>1173</v>
      </c>
      <c r="B7" s="157" t="s">
        <v>1174</v>
      </c>
      <c r="C7" s="28" t="s">
        <v>184</v>
      </c>
      <c r="D7" s="28" t="s">
        <v>188</v>
      </c>
      <c r="E7" s="396">
        <v>80</v>
      </c>
      <c r="F7" s="399">
        <v>0.99</v>
      </c>
      <c r="G7" s="398">
        <v>0.9</v>
      </c>
      <c r="H7" s="398">
        <v>0.5</v>
      </c>
      <c r="I7" s="396">
        <v>2027</v>
      </c>
      <c r="J7" s="398" t="str">
        <f>IFERROR(HLOOKUP(B7,#REF!,#REF!,FALSE),"")</f>
        <v/>
      </c>
      <c r="K7" s="398"/>
      <c r="L7" s="396">
        <v>-4</v>
      </c>
      <c r="M7" s="160"/>
    </row>
    <row r="8" spans="1:18" x14ac:dyDescent="0.2">
      <c r="A8" s="163" t="s">
        <v>1163</v>
      </c>
      <c r="B8" s="157" t="s">
        <v>1164</v>
      </c>
      <c r="C8" s="28" t="s">
        <v>182</v>
      </c>
      <c r="D8" s="28" t="s">
        <v>172</v>
      </c>
      <c r="E8" s="396">
        <v>80</v>
      </c>
      <c r="F8" s="167">
        <v>0.99</v>
      </c>
      <c r="G8" s="398">
        <v>0.9</v>
      </c>
      <c r="H8" s="398">
        <v>0.5</v>
      </c>
      <c r="I8" s="397">
        <v>2030</v>
      </c>
      <c r="J8" s="398">
        <f>5000*J2/500</f>
        <v>164.5</v>
      </c>
      <c r="K8" s="398"/>
      <c r="L8" s="396">
        <v>-4</v>
      </c>
      <c r="M8" s="160"/>
      <c r="N8" s="28">
        <v>5</v>
      </c>
      <c r="O8" s="28">
        <v>0</v>
      </c>
      <c r="P8" s="28">
        <v>500</v>
      </c>
    </row>
    <row r="9" spans="1:18" x14ac:dyDescent="0.2">
      <c r="A9" s="163" t="s">
        <v>1165</v>
      </c>
      <c r="B9" s="157" t="s">
        <v>1166</v>
      </c>
      <c r="C9" s="28" t="s">
        <v>174</v>
      </c>
      <c r="D9" s="28" t="s">
        <v>172</v>
      </c>
      <c r="E9" s="396">
        <v>80</v>
      </c>
      <c r="F9" s="167">
        <v>0.99</v>
      </c>
      <c r="G9" s="398">
        <v>0.9</v>
      </c>
      <c r="H9" s="398">
        <v>0.5</v>
      </c>
      <c r="I9" s="396"/>
      <c r="J9" s="398">
        <f>C38</f>
        <v>12.530380337750408</v>
      </c>
      <c r="K9" s="398"/>
      <c r="L9" s="396">
        <v>-4</v>
      </c>
      <c r="M9" s="160">
        <v>150</v>
      </c>
      <c r="N9" s="28">
        <v>5</v>
      </c>
      <c r="O9" s="28">
        <v>0</v>
      </c>
    </row>
    <row r="10" spans="1:18" x14ac:dyDescent="0.2">
      <c r="A10" s="163" t="s">
        <v>1167</v>
      </c>
      <c r="B10" s="157" t="s">
        <v>1168</v>
      </c>
      <c r="C10" s="28" t="s">
        <v>186</v>
      </c>
      <c r="D10" s="28" t="s">
        <v>172</v>
      </c>
      <c r="E10" s="396">
        <v>80</v>
      </c>
      <c r="F10" s="167">
        <f>F8</f>
        <v>0.99</v>
      </c>
      <c r="G10" s="398">
        <v>0.9</v>
      </c>
      <c r="H10" s="398">
        <v>0.5</v>
      </c>
      <c r="I10" s="396">
        <v>2030</v>
      </c>
      <c r="J10" s="398" t="str">
        <f>IFERROR(HLOOKUP(B10,#REF!,#REF!,FALSE),"")</f>
        <v/>
      </c>
      <c r="K10" s="398"/>
      <c r="L10" s="396">
        <v>-4</v>
      </c>
      <c r="M10" s="160"/>
      <c r="N10" s="160"/>
    </row>
    <row r="11" spans="1:18" x14ac:dyDescent="0.2">
      <c r="A11" s="163"/>
      <c r="B11" s="157"/>
      <c r="E11" s="396"/>
      <c r="F11" s="398"/>
      <c r="G11" s="398"/>
      <c r="H11" s="167"/>
      <c r="I11" s="396"/>
      <c r="J11" s="398"/>
      <c r="K11" s="398"/>
      <c r="L11" s="396"/>
      <c r="M11" s="160"/>
      <c r="N11" s="160"/>
    </row>
    <row r="12" spans="1:18" x14ac:dyDescent="0.2">
      <c r="A12" s="163"/>
      <c r="B12" s="157"/>
      <c r="E12" s="396"/>
      <c r="F12" s="398"/>
      <c r="G12" s="398"/>
      <c r="H12" s="167"/>
      <c r="I12" s="396"/>
      <c r="J12" s="398"/>
      <c r="K12" s="398"/>
      <c r="L12" s="396"/>
      <c r="M12" s="160"/>
      <c r="N12" s="160"/>
    </row>
    <row r="13" spans="1:18" x14ac:dyDescent="0.2">
      <c r="A13" s="163"/>
      <c r="B13" s="157"/>
      <c r="E13" s="164"/>
      <c r="F13" s="164"/>
      <c r="G13" s="164"/>
      <c r="H13" s="164"/>
      <c r="I13" s="164"/>
      <c r="J13" s="164"/>
      <c r="K13" s="167"/>
      <c r="L13" s="160"/>
    </row>
    <row r="28" spans="1:3" x14ac:dyDescent="0.2">
      <c r="A28" s="28" t="s">
        <v>1208</v>
      </c>
    </row>
    <row r="29" spans="1:3" x14ac:dyDescent="0.2">
      <c r="A29" s="28" t="s">
        <v>1207</v>
      </c>
    </row>
    <row r="30" spans="1:3" x14ac:dyDescent="0.2">
      <c r="A30" s="28" t="s">
        <v>1203</v>
      </c>
      <c r="B30" s="28" t="s">
        <v>1186</v>
      </c>
      <c r="C30" s="28">
        <v>300</v>
      </c>
    </row>
    <row r="31" spans="1:3" x14ac:dyDescent="0.2">
      <c r="B31" s="28" t="s">
        <v>1202</v>
      </c>
      <c r="C31" s="413">
        <f>-PMT(10%,5,1)</f>
        <v>0.26379748079474541</v>
      </c>
    </row>
    <row r="32" spans="1:3" x14ac:dyDescent="0.2">
      <c r="A32" s="28" t="s">
        <v>1187</v>
      </c>
      <c r="B32" s="28" t="s">
        <v>1186</v>
      </c>
      <c r="C32" s="28">
        <f>C31*C30</f>
        <v>79.139244238423629</v>
      </c>
    </row>
    <row r="33" spans="1:5" x14ac:dyDescent="0.2">
      <c r="B33" s="28" t="s">
        <v>1205</v>
      </c>
      <c r="C33" s="28">
        <f>C32*19</f>
        <v>1503.6456405300489</v>
      </c>
    </row>
    <row r="34" spans="1:5" x14ac:dyDescent="0.2">
      <c r="A34" s="28" t="s">
        <v>1204</v>
      </c>
      <c r="B34" s="28" t="s">
        <v>241</v>
      </c>
      <c r="C34" s="28">
        <v>120</v>
      </c>
      <c r="D34" s="28" t="s">
        <v>1211</v>
      </c>
      <c r="E34" s="28" t="s">
        <v>1212</v>
      </c>
    </row>
    <row r="35" spans="1:5" x14ac:dyDescent="0.2">
      <c r="A35" s="28" t="s">
        <v>1206</v>
      </c>
      <c r="B35" s="28" t="s">
        <v>255</v>
      </c>
      <c r="C35" s="125">
        <f>C33/C34</f>
        <v>12.530380337750408</v>
      </c>
    </row>
    <row r="36" spans="1:5" x14ac:dyDescent="0.2">
      <c r="A36" s="28" t="s">
        <v>1209</v>
      </c>
      <c r="B36" s="28" t="s">
        <v>255</v>
      </c>
      <c r="C36" s="28">
        <v>70</v>
      </c>
    </row>
    <row r="37" spans="1:5" x14ac:dyDescent="0.2">
      <c r="A37" s="28" t="s">
        <v>1210</v>
      </c>
      <c r="B37" s="28" t="s">
        <v>255</v>
      </c>
      <c r="C37" s="28">
        <v>120</v>
      </c>
    </row>
    <row r="38" spans="1:5" x14ac:dyDescent="0.2">
      <c r="A38" s="28" t="s">
        <v>874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6E53-9798-4969-9860-B1BB26C8159F}">
  <sheetPr codeName="Sheet9">
    <tabColor theme="8"/>
  </sheetPr>
  <dimension ref="A1:BJ69"/>
  <sheetViews>
    <sheetView workbookViewId="0">
      <pane xSplit="2" ySplit="5" topLeftCell="C46" activePane="bottomRight" state="frozen"/>
      <selection pane="topRight" activeCell="C1" sqref="C1"/>
      <selection pane="bottomLeft" activeCell="A6" sqref="A6"/>
      <selection pane="bottomRight" activeCell="B1" sqref="B1:E1"/>
    </sheetView>
  </sheetViews>
  <sheetFormatPr defaultRowHeight="15" x14ac:dyDescent="0.25"/>
  <cols>
    <col min="1" max="1" width="31.28515625" customWidth="1"/>
    <col min="2" max="2" width="11.7109375" customWidth="1"/>
  </cols>
  <sheetData>
    <row r="1" spans="1:62" ht="18" thickBot="1" x14ac:dyDescent="0.35">
      <c r="B1" s="169" t="s">
        <v>358</v>
      </c>
      <c r="C1" s="169"/>
      <c r="D1" s="169"/>
      <c r="E1" s="169"/>
      <c r="F1" s="28"/>
    </row>
    <row r="2" spans="1:62" ht="15.75" thickTop="1" x14ac:dyDescent="0.25">
      <c r="B2" s="170"/>
      <c r="C2" s="171"/>
    </row>
    <row r="3" spans="1:62" x14ac:dyDescent="0.25">
      <c r="B3" s="170" t="s">
        <v>359</v>
      </c>
      <c r="C3" s="171"/>
    </row>
    <row r="4" spans="1:62" x14ac:dyDescent="0.25">
      <c r="B4" s="29" t="s">
        <v>133</v>
      </c>
    </row>
    <row r="5" spans="1:62" x14ac:dyDescent="0.25">
      <c r="C5" t="s">
        <v>158</v>
      </c>
      <c r="D5" t="s">
        <v>164</v>
      </c>
      <c r="E5" t="s">
        <v>172</v>
      </c>
      <c r="F5" t="s">
        <v>204</v>
      </c>
      <c r="G5" t="s">
        <v>208</v>
      </c>
      <c r="H5" t="s">
        <v>210</v>
      </c>
      <c r="I5" t="s">
        <v>212</v>
      </c>
      <c r="J5" t="s">
        <v>214</v>
      </c>
      <c r="K5" t="s">
        <v>216</v>
      </c>
      <c r="L5" t="s">
        <v>224</v>
      </c>
    </row>
    <row r="6" spans="1:62" x14ac:dyDescent="0.25">
      <c r="A6" t="s">
        <v>360</v>
      </c>
      <c r="B6" t="s">
        <v>137</v>
      </c>
      <c r="C6">
        <v>96.25</v>
      </c>
      <c r="D6">
        <v>96.25</v>
      </c>
      <c r="E6">
        <v>56.1</v>
      </c>
      <c r="F6">
        <v>70</v>
      </c>
      <c r="G6">
        <v>74.066699999999997</v>
      </c>
      <c r="H6">
        <v>69.3</v>
      </c>
      <c r="I6">
        <v>77.400000000000006</v>
      </c>
      <c r="J6">
        <v>72.900000000000006</v>
      </c>
      <c r="K6">
        <v>63.1</v>
      </c>
      <c r="L6">
        <v>91.7</v>
      </c>
    </row>
    <row r="7" spans="1:62" x14ac:dyDescent="0.25">
      <c r="A7" t="s">
        <v>361</v>
      </c>
      <c r="B7" t="s">
        <v>138</v>
      </c>
      <c r="C7">
        <v>1E-3</v>
      </c>
      <c r="D7">
        <v>1E-3</v>
      </c>
      <c r="E7">
        <v>1E-3</v>
      </c>
      <c r="F7">
        <v>3.0000000000000001E-3</v>
      </c>
      <c r="G7">
        <v>3.0000000000000001E-3</v>
      </c>
      <c r="H7">
        <v>3.0000000000000001E-3</v>
      </c>
      <c r="I7">
        <v>3.0000000000000001E-3</v>
      </c>
      <c r="J7">
        <v>3.0000000000000001E-3</v>
      </c>
      <c r="K7">
        <v>3.0000000000000001E-3</v>
      </c>
      <c r="L7">
        <v>0.03</v>
      </c>
    </row>
    <row r="8" spans="1:62" x14ac:dyDescent="0.25">
      <c r="A8" t="s">
        <v>362</v>
      </c>
      <c r="B8" t="s">
        <v>139</v>
      </c>
      <c r="C8">
        <v>1.4E-3</v>
      </c>
      <c r="D8">
        <v>1.4E-3</v>
      </c>
      <c r="E8">
        <v>1E-4</v>
      </c>
      <c r="F8">
        <v>5.9999999999999995E-4</v>
      </c>
      <c r="G8">
        <v>5.9999999999999995E-4</v>
      </c>
      <c r="H8">
        <v>5.9999999999999995E-4</v>
      </c>
      <c r="I8">
        <v>5.9999999999999995E-4</v>
      </c>
      <c r="J8">
        <v>5.9999999999999995E-4</v>
      </c>
      <c r="K8">
        <v>1E-4</v>
      </c>
      <c r="L8">
        <v>4.0000000000000001E-3</v>
      </c>
    </row>
    <row r="9" spans="1:62" x14ac:dyDescent="0.25">
      <c r="A9" t="s">
        <v>363</v>
      </c>
      <c r="B9" t="s">
        <v>140</v>
      </c>
      <c r="C9">
        <v>0.62619999999999998</v>
      </c>
      <c r="D9">
        <v>0.62619999999999998</v>
      </c>
      <c r="E9">
        <v>0</v>
      </c>
      <c r="F9">
        <v>4.6699999999999998E-2</v>
      </c>
      <c r="G9">
        <v>0.25290000000000001</v>
      </c>
      <c r="H9">
        <v>4.6699999999999998E-2</v>
      </c>
      <c r="I9">
        <v>1.5290999999999999</v>
      </c>
      <c r="J9">
        <v>4.5900000000000003E-2</v>
      </c>
      <c r="K9">
        <v>5.4089999999999998</v>
      </c>
      <c r="L9">
        <v>1.5290999999999999</v>
      </c>
    </row>
    <row r="10" spans="1:62" x14ac:dyDescent="0.25">
      <c r="A10" t="s">
        <v>364</v>
      </c>
      <c r="B10" t="s">
        <v>141</v>
      </c>
      <c r="C10">
        <v>0.3</v>
      </c>
      <c r="D10">
        <v>0.3</v>
      </c>
      <c r="E10">
        <v>0.15</v>
      </c>
      <c r="F10">
        <v>0.3</v>
      </c>
      <c r="G10">
        <v>0.2</v>
      </c>
      <c r="H10">
        <v>0.6</v>
      </c>
      <c r="I10">
        <v>0.2</v>
      </c>
      <c r="J10">
        <v>0.2</v>
      </c>
      <c r="K10">
        <v>1.2460000000000001E-2</v>
      </c>
      <c r="L10">
        <v>0.2</v>
      </c>
    </row>
    <row r="11" spans="1:62" x14ac:dyDescent="0.25">
      <c r="A11" t="s">
        <v>365</v>
      </c>
      <c r="B11" t="s">
        <v>142</v>
      </c>
      <c r="C11">
        <v>0.02</v>
      </c>
      <c r="D11">
        <v>0.02</v>
      </c>
      <c r="E11">
        <v>0.02</v>
      </c>
      <c r="F11">
        <v>0.1</v>
      </c>
      <c r="G11">
        <v>1.4999999999999999E-2</v>
      </c>
      <c r="H11">
        <v>8</v>
      </c>
      <c r="I11">
        <v>0.01</v>
      </c>
      <c r="J11">
        <v>0.01</v>
      </c>
      <c r="K11">
        <v>0.182</v>
      </c>
      <c r="L11">
        <v>0.01</v>
      </c>
    </row>
    <row r="12" spans="1:62" x14ac:dyDescent="0.25">
      <c r="A12" t="s">
        <v>366</v>
      </c>
      <c r="B12" t="s">
        <v>143</v>
      </c>
      <c r="C12">
        <v>5.0000000000000001E-3</v>
      </c>
      <c r="D12">
        <v>5.0000000000000001E-3</v>
      </c>
      <c r="E12">
        <v>5.0000000000000001E-3</v>
      </c>
      <c r="F12">
        <v>0.05</v>
      </c>
      <c r="G12">
        <v>5.0000000000000001E-3</v>
      </c>
      <c r="H12">
        <v>1.5</v>
      </c>
      <c r="I12">
        <v>5.0000000000000001E-3</v>
      </c>
      <c r="J12">
        <v>5.0000000000000001E-3</v>
      </c>
      <c r="K12">
        <v>2.3699999999999999E-2</v>
      </c>
      <c r="L12">
        <v>5.0000000000000001E-3</v>
      </c>
    </row>
    <row r="13" spans="1:62" x14ac:dyDescent="0.25">
      <c r="A13" t="s">
        <v>367</v>
      </c>
      <c r="B13" t="s">
        <v>144</v>
      </c>
      <c r="C13" s="172">
        <v>4.5769644752755773E-2</v>
      </c>
      <c r="D13" s="172">
        <v>4.5769644752755773E-2</v>
      </c>
    </row>
    <row r="15" spans="1:62" x14ac:dyDescent="0.25">
      <c r="A15" t="s">
        <v>0</v>
      </c>
      <c r="C15" t="s">
        <v>5</v>
      </c>
      <c r="M15" t="s">
        <v>6</v>
      </c>
      <c r="W15" t="s">
        <v>7</v>
      </c>
      <c r="AG15" t="s">
        <v>9</v>
      </c>
      <c r="AQ15" t="s">
        <v>8</v>
      </c>
      <c r="BA15" t="s">
        <v>10</v>
      </c>
    </row>
    <row r="16" spans="1:62" x14ac:dyDescent="0.25">
      <c r="B16" s="173" t="s">
        <v>368</v>
      </c>
      <c r="C16" t="str">
        <f t="shared" ref="C16:L16" si="0">$C15&amp;C$5</f>
        <v>AGRCOA</v>
      </c>
      <c r="D16" t="str">
        <f t="shared" si="0"/>
        <v>AGRCLE</v>
      </c>
      <c r="E16" t="str">
        <f t="shared" si="0"/>
        <v>AGRGAS</v>
      </c>
      <c r="F16" t="str">
        <f t="shared" si="0"/>
        <v>AGROAG</v>
      </c>
      <c r="G16" t="str">
        <f t="shared" si="0"/>
        <v>AGRODS</v>
      </c>
      <c r="H16" t="str">
        <f t="shared" si="0"/>
        <v>AGROGS</v>
      </c>
      <c r="I16" t="str">
        <f t="shared" si="0"/>
        <v>AGROHF</v>
      </c>
      <c r="J16" t="str">
        <f t="shared" si="0"/>
        <v>AGROKE</v>
      </c>
      <c r="K16" t="str">
        <f t="shared" si="0"/>
        <v>AGROLP</v>
      </c>
      <c r="L16" t="str">
        <f t="shared" si="0"/>
        <v>AGRWAS</v>
      </c>
      <c r="M16" t="str">
        <f t="shared" ref="M16:V16" si="1">$M15&amp;C$5</f>
        <v>COMCOA</v>
      </c>
      <c r="N16" t="str">
        <f t="shared" si="1"/>
        <v>COMCLE</v>
      </c>
      <c r="O16" t="str">
        <f t="shared" si="1"/>
        <v>COMGAS</v>
      </c>
      <c r="P16" t="str">
        <f t="shared" si="1"/>
        <v>COMOAG</v>
      </c>
      <c r="Q16" t="str">
        <f t="shared" si="1"/>
        <v>COMODS</v>
      </c>
      <c r="R16" t="str">
        <f t="shared" si="1"/>
        <v>COMOGS</v>
      </c>
      <c r="S16" t="str">
        <f t="shared" si="1"/>
        <v>COMOHF</v>
      </c>
      <c r="T16" t="str">
        <f t="shared" si="1"/>
        <v>COMOKE</v>
      </c>
      <c r="U16" t="str">
        <f t="shared" si="1"/>
        <v>COMOLP</v>
      </c>
      <c r="V16" t="str">
        <f t="shared" si="1"/>
        <v>COMWAS</v>
      </c>
      <c r="W16" t="str">
        <f t="shared" ref="W16:AF16" si="2">$W15&amp;C$5</f>
        <v>INDCOA</v>
      </c>
      <c r="X16" t="str">
        <f t="shared" si="2"/>
        <v>INDCLE</v>
      </c>
      <c r="Y16" t="str">
        <f t="shared" si="2"/>
        <v>INDGAS</v>
      </c>
      <c r="Z16" t="str">
        <f t="shared" si="2"/>
        <v>INDOAG</v>
      </c>
      <c r="AA16" t="str">
        <f t="shared" si="2"/>
        <v>INDODS</v>
      </c>
      <c r="AB16" t="str">
        <f t="shared" si="2"/>
        <v>INDOGS</v>
      </c>
      <c r="AC16" t="str">
        <f t="shared" si="2"/>
        <v>INDOHF</v>
      </c>
      <c r="AD16" t="str">
        <f t="shared" si="2"/>
        <v>INDOKE</v>
      </c>
      <c r="AE16" t="str">
        <f t="shared" si="2"/>
        <v>INDOLP</v>
      </c>
      <c r="AF16" t="str">
        <f t="shared" si="2"/>
        <v>INDWAS</v>
      </c>
      <c r="AG16" t="str">
        <f t="shared" ref="AG16:AP16" si="3">$AG15&amp;C$5</f>
        <v>RESCOA</v>
      </c>
      <c r="AH16" t="str">
        <f t="shared" si="3"/>
        <v>RESCLE</v>
      </c>
      <c r="AI16" t="str">
        <f t="shared" si="3"/>
        <v>RESGAS</v>
      </c>
      <c r="AJ16" t="str">
        <f t="shared" si="3"/>
        <v>RESOAG</v>
      </c>
      <c r="AK16" t="str">
        <f t="shared" si="3"/>
        <v>RESODS</v>
      </c>
      <c r="AL16" t="str">
        <f t="shared" si="3"/>
        <v>RESOGS</v>
      </c>
      <c r="AM16" t="str">
        <f t="shared" si="3"/>
        <v>RESOHF</v>
      </c>
      <c r="AN16" t="str">
        <f t="shared" si="3"/>
        <v>RESOKE</v>
      </c>
      <c r="AO16" t="str">
        <f t="shared" si="3"/>
        <v>RESOLP</v>
      </c>
      <c r="AP16" t="str">
        <f t="shared" si="3"/>
        <v>RESWAS</v>
      </c>
      <c r="AQ16" t="str">
        <f t="shared" ref="AQ16:AZ16" si="4">$AQ15&amp;C$5</f>
        <v>TRACOA</v>
      </c>
      <c r="AR16" t="str">
        <f t="shared" si="4"/>
        <v>TRACLE</v>
      </c>
      <c r="AS16" t="str">
        <f t="shared" si="4"/>
        <v>TRAGAS</v>
      </c>
      <c r="AT16" t="str">
        <f t="shared" si="4"/>
        <v>TRAOAG</v>
      </c>
      <c r="AU16" t="str">
        <f t="shared" si="4"/>
        <v>TRAODS</v>
      </c>
      <c r="AV16" t="str">
        <f t="shared" si="4"/>
        <v>TRAOGS</v>
      </c>
      <c r="AW16" t="str">
        <f t="shared" si="4"/>
        <v>TRAOHF</v>
      </c>
      <c r="AX16" t="str">
        <f t="shared" si="4"/>
        <v>TRAOKE</v>
      </c>
      <c r="AY16" t="str">
        <f t="shared" si="4"/>
        <v>TRAOLP</v>
      </c>
      <c r="AZ16" t="str">
        <f t="shared" si="4"/>
        <v>TRAWAS</v>
      </c>
      <c r="BA16" t="str">
        <f>$BA15&amp;C$5</f>
        <v>PWRCOA</v>
      </c>
      <c r="BB16" t="str">
        <f t="shared" ref="BB16:BJ16" si="5">$BA15&amp;D$5</f>
        <v>PWRCLE</v>
      </c>
      <c r="BC16" t="str">
        <f t="shared" si="5"/>
        <v>PWRGAS</v>
      </c>
      <c r="BD16" t="str">
        <f t="shared" si="5"/>
        <v>PWROAG</v>
      </c>
      <c r="BE16" t="str">
        <f t="shared" si="5"/>
        <v>PWRODS</v>
      </c>
      <c r="BF16" t="str">
        <f t="shared" si="5"/>
        <v>PWROGS</v>
      </c>
      <c r="BG16" t="str">
        <f t="shared" si="5"/>
        <v>PWROHF</v>
      </c>
      <c r="BH16" t="str">
        <f t="shared" si="5"/>
        <v>PWROKE</v>
      </c>
      <c r="BI16" t="str">
        <f t="shared" si="5"/>
        <v>PWROLP</v>
      </c>
      <c r="BJ16" t="str">
        <f t="shared" si="5"/>
        <v>PWRWAS</v>
      </c>
    </row>
    <row r="17" spans="1:21" x14ac:dyDescent="0.25">
      <c r="A17" t="str">
        <f>A15&amp;" "&amp;A6</f>
        <v>Agriculture Carbon dioxide</v>
      </c>
      <c r="B17" t="str">
        <f>C15&amp;B6</f>
        <v>AGRCO2S</v>
      </c>
      <c r="C17">
        <f>IF(ISNA(MATCH(C$16,FuelTechs!$D$9:$D$58,0)),"",CombustionEmissions!C6)</f>
        <v>96.25</v>
      </c>
      <c r="D17" t="str">
        <f>IF(ISNA(MATCH(D$16,FuelTechs!$D$9:$D$58,0)),"",CombustionEmissions!D6)</f>
        <v/>
      </c>
      <c r="E17" t="str">
        <f>IF(ISNA(MATCH(E$16,FuelTechs!$D$9:$D$58,0)),"",CombustionEmissions!E6)</f>
        <v/>
      </c>
      <c r="F17" t="str">
        <f>IF(ISNA(MATCH(F$16,FuelTechs!$D$9:$D$58,0)),"",CombustionEmissions!F6)</f>
        <v/>
      </c>
      <c r="G17">
        <f>IF(ISNA(MATCH(G$16,FuelTechs!$D$9:$D$58,0)),"",CombustionEmissions!G6)</f>
        <v>74.066699999999997</v>
      </c>
      <c r="H17">
        <f>IF(ISNA(MATCH(H$16,FuelTechs!$D$9:$D$58,0)),"",CombustionEmissions!H6)</f>
        <v>69.3</v>
      </c>
      <c r="I17">
        <f>IF(ISNA(MATCH(I$16,FuelTechs!$D$9:$D$58,0)),"",CombustionEmissions!I6)</f>
        <v>77.400000000000006</v>
      </c>
      <c r="J17">
        <f>IF(ISNA(MATCH(J$16,FuelTechs!$D$9:$D$58,0)),"",CombustionEmissions!J6)</f>
        <v>72.900000000000006</v>
      </c>
      <c r="K17">
        <f>IF(ISNA(MATCH(K$16,FuelTechs!$D$9:$D$58,0)),"",CombustionEmissions!K6)</f>
        <v>63.1</v>
      </c>
      <c r="L17" t="str">
        <f>IF(ISNA(MATCH(L$16,FuelTechs!$D$9:$D$58,0)),"",CombustionEmissions!L6)</f>
        <v/>
      </c>
    </row>
    <row r="18" spans="1:21" x14ac:dyDescent="0.25">
      <c r="A18" t="str">
        <f>A15&amp;" "&amp;A7</f>
        <v>Agriculture Methane</v>
      </c>
      <c r="B18" t="str">
        <f>C15&amp;B7</f>
        <v>AGRCH4S</v>
      </c>
      <c r="C18">
        <f>IF(ISNA(MATCH(C$16,FuelTechs!$D$9:$D$58,0)),"",CombustionEmissions!C7)</f>
        <v>1E-3</v>
      </c>
      <c r="D18" t="str">
        <f>IF(ISNA(MATCH(D$16,FuelTechs!$D$9:$D$58,0)),"",CombustionEmissions!D7)</f>
        <v/>
      </c>
      <c r="E18" t="str">
        <f>IF(ISNA(MATCH(E$16,FuelTechs!$D$9:$D$58,0)),"",CombustionEmissions!E7)</f>
        <v/>
      </c>
      <c r="F18" t="str">
        <f>IF(ISNA(MATCH(F$16,FuelTechs!$D$9:$D$58,0)),"",CombustionEmissions!F7)</f>
        <v/>
      </c>
      <c r="G18">
        <f>IF(ISNA(MATCH(G$16,FuelTechs!$D$9:$D$58,0)),"",CombustionEmissions!G7)</f>
        <v>3.0000000000000001E-3</v>
      </c>
      <c r="H18">
        <f>IF(ISNA(MATCH(H$16,FuelTechs!$D$9:$D$58,0)),"",CombustionEmissions!H7)</f>
        <v>3.0000000000000001E-3</v>
      </c>
      <c r="I18">
        <f>IF(ISNA(MATCH(I$16,FuelTechs!$D$9:$D$58,0)),"",CombustionEmissions!I7)</f>
        <v>3.0000000000000001E-3</v>
      </c>
      <c r="J18">
        <f>IF(ISNA(MATCH(J$16,FuelTechs!$D$9:$D$58,0)),"",CombustionEmissions!J7)</f>
        <v>3.0000000000000001E-3</v>
      </c>
      <c r="K18">
        <f>IF(ISNA(MATCH(K$16,FuelTechs!$D$9:$D$58,0)),"",CombustionEmissions!K7)</f>
        <v>3.0000000000000001E-3</v>
      </c>
      <c r="L18" t="str">
        <f>IF(ISNA(MATCH(L$16,FuelTechs!$D$9:$D$58,0)),"",CombustionEmissions!L7)</f>
        <v/>
      </c>
    </row>
    <row r="19" spans="1:21" x14ac:dyDescent="0.25">
      <c r="A19" t="str">
        <f>A15&amp;" "&amp;A8</f>
        <v>Agriculture Nitrous Oxide</v>
      </c>
      <c r="B19" t="str">
        <f>C15&amp;B8</f>
        <v>AGRN2OS</v>
      </c>
      <c r="C19">
        <f>IF(ISNA(MATCH(C$16,FuelTechs!$D$9:$D$58,0)),"",CombustionEmissions!C8)</f>
        <v>1.4E-3</v>
      </c>
      <c r="D19" t="str">
        <f>IF(ISNA(MATCH(D$16,FuelTechs!$D$9:$D$58,0)),"",CombustionEmissions!D8)</f>
        <v/>
      </c>
      <c r="E19" t="str">
        <f>IF(ISNA(MATCH(E$16,FuelTechs!$D$9:$D$58,0)),"",CombustionEmissions!E8)</f>
        <v/>
      </c>
      <c r="F19" t="str">
        <f>IF(ISNA(MATCH(F$16,FuelTechs!$D$9:$D$58,0)),"",CombustionEmissions!F8)</f>
        <v/>
      </c>
      <c r="G19">
        <f>IF(ISNA(MATCH(G$16,FuelTechs!$D$9:$D$58,0)),"",CombustionEmissions!G8)</f>
        <v>5.9999999999999995E-4</v>
      </c>
      <c r="H19">
        <f>IF(ISNA(MATCH(H$16,FuelTechs!$D$9:$D$58,0)),"",CombustionEmissions!H8)</f>
        <v>5.9999999999999995E-4</v>
      </c>
      <c r="I19">
        <f>IF(ISNA(MATCH(I$16,FuelTechs!$D$9:$D$58,0)),"",CombustionEmissions!I8)</f>
        <v>5.9999999999999995E-4</v>
      </c>
      <c r="J19">
        <f>IF(ISNA(MATCH(J$16,FuelTechs!$D$9:$D$58,0)),"",CombustionEmissions!J8)</f>
        <v>5.9999999999999995E-4</v>
      </c>
      <c r="K19">
        <f>IF(ISNA(MATCH(K$16,FuelTechs!$D$9:$D$58,0)),"",CombustionEmissions!K8)</f>
        <v>1E-4</v>
      </c>
      <c r="L19" t="str">
        <f>IF(ISNA(MATCH(L$16,FuelTechs!$D$9:$D$58,0)),"",CombustionEmissions!L8)</f>
        <v/>
      </c>
    </row>
    <row r="20" spans="1:21" x14ac:dyDescent="0.25">
      <c r="A20" t="str">
        <f>A15&amp;" "&amp;A9</f>
        <v>Agriculture Sulphur gases</v>
      </c>
      <c r="B20" t="str">
        <f>C15&amp;B9</f>
        <v>AGRSOXS</v>
      </c>
      <c r="C20">
        <f>IF(ISNA(MATCH(C$16,FuelTechs!$D$9:$D$58,0)),"",CombustionEmissions!C9)</f>
        <v>0.62619999999999998</v>
      </c>
      <c r="D20" t="str">
        <f>IF(ISNA(MATCH(D$16,FuelTechs!$D$9:$D$58,0)),"",CombustionEmissions!D9)</f>
        <v/>
      </c>
      <c r="E20" t="str">
        <f>IF(ISNA(MATCH(E$16,FuelTechs!$D$9:$D$58,0)),"",CombustionEmissions!E9)</f>
        <v/>
      </c>
      <c r="F20" t="str">
        <f>IF(ISNA(MATCH(F$16,FuelTechs!$D$9:$D$58,0)),"",CombustionEmissions!F9)</f>
        <v/>
      </c>
      <c r="G20">
        <f>IF(ISNA(MATCH(G$16,FuelTechs!$D$9:$D$58,0)),"",CombustionEmissions!G9)</f>
        <v>0.25290000000000001</v>
      </c>
      <c r="H20">
        <f>IF(ISNA(MATCH(H$16,FuelTechs!$D$9:$D$58,0)),"",CombustionEmissions!H9)</f>
        <v>4.6699999999999998E-2</v>
      </c>
      <c r="I20">
        <f>IF(ISNA(MATCH(I$16,FuelTechs!$D$9:$D$58,0)),"",CombustionEmissions!I9)</f>
        <v>1.5290999999999999</v>
      </c>
      <c r="J20">
        <f>IF(ISNA(MATCH(J$16,FuelTechs!$D$9:$D$58,0)),"",CombustionEmissions!J9)</f>
        <v>4.5900000000000003E-2</v>
      </c>
      <c r="K20">
        <f>IF(ISNA(MATCH(K$16,FuelTechs!$D$9:$D$58,0)),"",CombustionEmissions!K9)</f>
        <v>5.4089999999999998</v>
      </c>
      <c r="L20" t="str">
        <f>IF(ISNA(MATCH(L$16,FuelTechs!$D$9:$D$58,0)),"",CombustionEmissions!L9)</f>
        <v/>
      </c>
    </row>
    <row r="21" spans="1:21" x14ac:dyDescent="0.25">
      <c r="A21" t="str">
        <f>A15&amp;" "&amp;A10</f>
        <v>Agriculture Nitrogen gases</v>
      </c>
      <c r="B21" t="str">
        <f>C15&amp;B10</f>
        <v>AGRNOXS</v>
      </c>
      <c r="C21">
        <f>IF(ISNA(MATCH(C$16,FuelTechs!$D$9:$D$58,0)),"",CombustionEmissions!C10)</f>
        <v>0.3</v>
      </c>
      <c r="D21" t="str">
        <f>IF(ISNA(MATCH(D$16,FuelTechs!$D$9:$D$58,0)),"",CombustionEmissions!D10)</f>
        <v/>
      </c>
      <c r="E21" t="str">
        <f>IF(ISNA(MATCH(E$16,FuelTechs!$D$9:$D$58,0)),"",CombustionEmissions!E10)</f>
        <v/>
      </c>
      <c r="F21" t="str">
        <f>IF(ISNA(MATCH(F$16,FuelTechs!$D$9:$D$58,0)),"",CombustionEmissions!F10)</f>
        <v/>
      </c>
      <c r="G21">
        <f>IF(ISNA(MATCH(G$16,FuelTechs!$D$9:$D$58,0)),"",CombustionEmissions!G10)</f>
        <v>0.2</v>
      </c>
      <c r="H21">
        <f>IF(ISNA(MATCH(H$16,FuelTechs!$D$9:$D$58,0)),"",CombustionEmissions!H10)</f>
        <v>0.6</v>
      </c>
      <c r="I21">
        <f>IF(ISNA(MATCH(I$16,FuelTechs!$D$9:$D$58,0)),"",CombustionEmissions!I10)</f>
        <v>0.2</v>
      </c>
      <c r="J21">
        <f>IF(ISNA(MATCH(J$16,FuelTechs!$D$9:$D$58,0)),"",CombustionEmissions!J10)</f>
        <v>0.2</v>
      </c>
      <c r="K21">
        <f>IF(ISNA(MATCH(K$16,FuelTechs!$D$9:$D$58,0)),"",CombustionEmissions!K10)</f>
        <v>1.2460000000000001E-2</v>
      </c>
      <c r="L21" t="str">
        <f>IF(ISNA(MATCH(L$16,FuelTechs!$D$9:$D$58,0)),"",CombustionEmissions!L10)</f>
        <v/>
      </c>
    </row>
    <row r="22" spans="1:21" x14ac:dyDescent="0.25">
      <c r="A22" t="str">
        <f>A15&amp;" "&amp;A11</f>
        <v>Agriculture Carbon monoxide</v>
      </c>
      <c r="B22" t="str">
        <f>C15&amp;B11</f>
        <v>AGRCMOX</v>
      </c>
      <c r="C22">
        <f>IF(ISNA(MATCH(C$16,FuelTechs!$D$9:$D$58,0)),"",CombustionEmissions!C11)</f>
        <v>0.02</v>
      </c>
      <c r="D22" t="str">
        <f>IF(ISNA(MATCH(D$16,FuelTechs!$D$9:$D$58,0)),"",CombustionEmissions!D11)</f>
        <v/>
      </c>
      <c r="E22" t="str">
        <f>IF(ISNA(MATCH(E$16,FuelTechs!$D$9:$D$58,0)),"",CombustionEmissions!E11)</f>
        <v/>
      </c>
      <c r="F22" t="str">
        <f>IF(ISNA(MATCH(F$16,FuelTechs!$D$9:$D$58,0)),"",CombustionEmissions!F11)</f>
        <v/>
      </c>
      <c r="G22">
        <f>IF(ISNA(MATCH(G$16,FuelTechs!$D$9:$D$58,0)),"",CombustionEmissions!G11)</f>
        <v>1.4999999999999999E-2</v>
      </c>
      <c r="H22">
        <f>IF(ISNA(MATCH(H$16,FuelTechs!$D$9:$D$58,0)),"",CombustionEmissions!H11)</f>
        <v>8</v>
      </c>
      <c r="I22">
        <f>IF(ISNA(MATCH(I$16,FuelTechs!$D$9:$D$58,0)),"",CombustionEmissions!I11)</f>
        <v>0.01</v>
      </c>
      <c r="J22">
        <f>IF(ISNA(MATCH(J$16,FuelTechs!$D$9:$D$58,0)),"",CombustionEmissions!J11)</f>
        <v>0.01</v>
      </c>
      <c r="K22">
        <f>IF(ISNA(MATCH(K$16,FuelTechs!$D$9:$D$58,0)),"",CombustionEmissions!K11)</f>
        <v>0.182</v>
      </c>
      <c r="L22" t="str">
        <f>IF(ISNA(MATCH(L$16,FuelTechs!$D$9:$D$58,0)),"",CombustionEmissions!L11)</f>
        <v/>
      </c>
    </row>
    <row r="23" spans="1:21" x14ac:dyDescent="0.25">
      <c r="A23" t="str">
        <f>A15&amp;" "&amp;A12</f>
        <v>Agriculture NMVOCs</v>
      </c>
      <c r="B23" t="str">
        <f>C15&amp;B12</f>
        <v>AGRNMVS</v>
      </c>
      <c r="C23">
        <f>IF(ISNA(MATCH(C$16,FuelTechs!$D$9:$D$58,0)),"",CombustionEmissions!C12)</f>
        <v>5.0000000000000001E-3</v>
      </c>
      <c r="D23" t="str">
        <f>IF(ISNA(MATCH(D$16,FuelTechs!$D$9:$D$58,0)),"",CombustionEmissions!D12)</f>
        <v/>
      </c>
      <c r="E23" t="str">
        <f>IF(ISNA(MATCH(E$16,FuelTechs!$D$9:$D$58,0)),"",CombustionEmissions!E12)</f>
        <v/>
      </c>
      <c r="F23" t="str">
        <f>IF(ISNA(MATCH(F$16,FuelTechs!$D$9:$D$58,0)),"",CombustionEmissions!F12)</f>
        <v/>
      </c>
      <c r="G23">
        <f>IF(ISNA(MATCH(G$16,FuelTechs!$D$9:$D$58,0)),"",CombustionEmissions!G12)</f>
        <v>5.0000000000000001E-3</v>
      </c>
      <c r="H23">
        <f>IF(ISNA(MATCH(H$16,FuelTechs!$D$9:$D$58,0)),"",CombustionEmissions!H12)</f>
        <v>1.5</v>
      </c>
      <c r="I23">
        <f>IF(ISNA(MATCH(I$16,FuelTechs!$D$9:$D$58,0)),"",CombustionEmissions!I12)</f>
        <v>5.0000000000000001E-3</v>
      </c>
      <c r="J23">
        <f>IF(ISNA(MATCH(J$16,FuelTechs!$D$9:$D$58,0)),"",CombustionEmissions!J12)</f>
        <v>5.0000000000000001E-3</v>
      </c>
      <c r="K23">
        <f>IF(ISNA(MATCH(K$16,FuelTechs!$D$9:$D$58,0)),"",CombustionEmissions!K12)</f>
        <v>2.3699999999999999E-2</v>
      </c>
      <c r="L23" t="str">
        <f>IF(ISNA(MATCH(L$16,FuelTechs!$D$9:$D$58,0)),"",CombustionEmissions!L12)</f>
        <v/>
      </c>
    </row>
    <row r="24" spans="1:21" x14ac:dyDescent="0.25">
      <c r="A24" t="str">
        <f>A15&amp;" "&amp;A13</f>
        <v>Agriculture PM10</v>
      </c>
      <c r="B24" t="str">
        <f>C15&amp;B13</f>
        <v>AGRP10S</v>
      </c>
      <c r="C24">
        <f>IF(ISNA(MATCH(C$16,FuelTechs!$D$9:$D$58,0)),"",CombustionEmissions!C13)</f>
        <v>4.5769644752755773E-2</v>
      </c>
      <c r="D24" t="str">
        <f>IF(ISNA(MATCH(D$16,FuelTechs!$D$9:$D$58,0)),"",CombustionEmissions!D13)</f>
        <v/>
      </c>
      <c r="E24" t="str">
        <f>IF(ISNA(MATCH(E$16,FuelTechs!$D$9:$D$58,0)),"",CombustionEmissions!E13)</f>
        <v/>
      </c>
      <c r="F24" t="str">
        <f>IF(ISNA(MATCH(F$16,FuelTechs!$D$9:$D$58,0)),"",CombustionEmissions!F13)</f>
        <v/>
      </c>
      <c r="G24">
        <f>IF(ISNA(MATCH(G$16,FuelTechs!$D$9:$D$58,0)),"",CombustionEmissions!G13)</f>
        <v>0</v>
      </c>
      <c r="H24">
        <f>IF(ISNA(MATCH(H$16,FuelTechs!$D$9:$D$58,0)),"",CombustionEmissions!H13)</f>
        <v>0</v>
      </c>
      <c r="I24">
        <f>IF(ISNA(MATCH(I$16,FuelTechs!$D$9:$D$58,0)),"",CombustionEmissions!I13)</f>
        <v>0</v>
      </c>
      <c r="J24">
        <f>IF(ISNA(MATCH(J$16,FuelTechs!$D$9:$D$58,0)),"",CombustionEmissions!J13)</f>
        <v>0</v>
      </c>
      <c r="K24">
        <f>IF(ISNA(MATCH(K$16,FuelTechs!$D$9:$D$58,0)),"",CombustionEmissions!K13)</f>
        <v>0</v>
      </c>
      <c r="L24" t="str">
        <f>IF(ISNA(MATCH(L$16,FuelTechs!$D$9:$D$58,0)),"",CombustionEmissions!L13)</f>
        <v/>
      </c>
    </row>
    <row r="25" spans="1:21" x14ac:dyDescent="0.25">
      <c r="A25" t="s">
        <v>356</v>
      </c>
      <c r="B25" t="s">
        <v>228</v>
      </c>
    </row>
    <row r="26" spans="1:21" x14ac:dyDescent="0.25">
      <c r="A26" t="str">
        <f t="shared" ref="A26:A33" si="6">B$25&amp;" "&amp;A6</f>
        <v>Commerce Carbon dioxide</v>
      </c>
      <c r="B26" t="str">
        <f t="shared" ref="B26:B33" si="7">M$15&amp;B6</f>
        <v>COMCO2S</v>
      </c>
      <c r="L26" t="str">
        <f>IF(ISNA(MATCH(V$16,FuelTechs!$D$9:$D$58,0)),"",CombustionEmissions!L6)</f>
        <v/>
      </c>
      <c r="M26">
        <f>IF(ISNA(MATCH(M$16,FuelTechs!$D$9:$D$58,0)),"",CombustionEmissions!C6)</f>
        <v>96.25</v>
      </c>
      <c r="N26" t="str">
        <f>IF(ISNA(MATCH(N$16,FuelTechs!$D$9:$D$58,0)),"",CombustionEmissions!D6)</f>
        <v/>
      </c>
      <c r="O26">
        <f>IF(ISNA(MATCH(O$16,FuelTechs!$D$9:$D$58,0)),"",CombustionEmissions!E6)</f>
        <v>56.1</v>
      </c>
      <c r="P26" t="str">
        <f>IF(ISNA(MATCH(P$16,FuelTechs!$D$9:$D$58,0)),"",CombustionEmissions!F6)</f>
        <v/>
      </c>
      <c r="Q26">
        <f>IF(ISNA(MATCH(Q$16,FuelTechs!$D$9:$D$58,0)),"",CombustionEmissions!G6)</f>
        <v>74.066699999999997</v>
      </c>
      <c r="R26">
        <f>IF(ISNA(MATCH(R$16,FuelTechs!$D$9:$D$58,0)),"",CombustionEmissions!H6)</f>
        <v>69.3</v>
      </c>
      <c r="S26">
        <f>IF(ISNA(MATCH(S$16,FuelTechs!$D$9:$D$58,0)),"",CombustionEmissions!I6)</f>
        <v>77.400000000000006</v>
      </c>
      <c r="T26">
        <f>IF(ISNA(MATCH(T$16,FuelTechs!$D$9:$D$58,0)),"",CombustionEmissions!J6)</f>
        <v>72.900000000000006</v>
      </c>
      <c r="U26">
        <f>IF(ISNA(MATCH(U$16,FuelTechs!$D$9:$D$58,0)),"",CombustionEmissions!K6)</f>
        <v>63.1</v>
      </c>
    </row>
    <row r="27" spans="1:21" x14ac:dyDescent="0.25">
      <c r="A27" t="str">
        <f t="shared" si="6"/>
        <v>Commerce Methane</v>
      </c>
      <c r="B27" t="str">
        <f t="shared" si="7"/>
        <v>COMCH4S</v>
      </c>
      <c r="L27" t="str">
        <f>IF(ISNA(MATCH(V$16,FuelTechs!$D$9:$D$58,0)),"",CombustionEmissions!L7)</f>
        <v/>
      </c>
      <c r="M27">
        <f>IF(ISNA(MATCH(M$16,FuelTechs!$D$9:$D$58,0)),"",CombustionEmissions!C7)</f>
        <v>1E-3</v>
      </c>
      <c r="N27" t="str">
        <f>IF(ISNA(MATCH(N$16,FuelTechs!$D$9:$D$58,0)),"",CombustionEmissions!D7)</f>
        <v/>
      </c>
      <c r="O27">
        <f>IF(ISNA(MATCH(O$16,FuelTechs!$D$9:$D$58,0)),"",CombustionEmissions!E7)</f>
        <v>1E-3</v>
      </c>
      <c r="P27" t="str">
        <f>IF(ISNA(MATCH(P$16,FuelTechs!$D$9:$D$58,0)),"",CombustionEmissions!F7)</f>
        <v/>
      </c>
      <c r="Q27">
        <f>IF(ISNA(MATCH(Q$16,FuelTechs!$D$9:$D$58,0)),"",CombustionEmissions!G7)</f>
        <v>3.0000000000000001E-3</v>
      </c>
      <c r="R27">
        <f>IF(ISNA(MATCH(R$16,FuelTechs!$D$9:$D$58,0)),"",CombustionEmissions!H7)</f>
        <v>3.0000000000000001E-3</v>
      </c>
      <c r="S27">
        <f>IF(ISNA(MATCH(S$16,FuelTechs!$D$9:$D$58,0)),"",CombustionEmissions!I7)</f>
        <v>3.0000000000000001E-3</v>
      </c>
      <c r="T27">
        <f>IF(ISNA(MATCH(T$16,FuelTechs!$D$9:$D$58,0)),"",CombustionEmissions!J7)</f>
        <v>3.0000000000000001E-3</v>
      </c>
      <c r="U27">
        <f>IF(ISNA(MATCH(U$16,FuelTechs!$D$9:$D$58,0)),"",CombustionEmissions!K7)</f>
        <v>3.0000000000000001E-3</v>
      </c>
    </row>
    <row r="28" spans="1:21" x14ac:dyDescent="0.25">
      <c r="A28" t="str">
        <f t="shared" si="6"/>
        <v>Commerce Nitrous Oxide</v>
      </c>
      <c r="B28" t="str">
        <f t="shared" si="7"/>
        <v>COMN2OS</v>
      </c>
      <c r="L28" t="str">
        <f>IF(ISNA(MATCH(V$16,FuelTechs!$D$9:$D$58,0)),"",CombustionEmissions!L8)</f>
        <v/>
      </c>
      <c r="M28">
        <f>IF(ISNA(MATCH(M$16,FuelTechs!$D$9:$D$58,0)),"",CombustionEmissions!C8)</f>
        <v>1.4E-3</v>
      </c>
      <c r="N28" t="str">
        <f>IF(ISNA(MATCH(N$16,FuelTechs!$D$9:$D$58,0)),"",CombustionEmissions!D8)</f>
        <v/>
      </c>
      <c r="O28">
        <f>IF(ISNA(MATCH(O$16,FuelTechs!$D$9:$D$58,0)),"",CombustionEmissions!E8)</f>
        <v>1E-4</v>
      </c>
      <c r="P28" t="str">
        <f>IF(ISNA(MATCH(P$16,FuelTechs!$D$9:$D$58,0)),"",CombustionEmissions!F8)</f>
        <v/>
      </c>
      <c r="Q28">
        <f>IF(ISNA(MATCH(Q$16,FuelTechs!$D$9:$D$58,0)),"",CombustionEmissions!G8)</f>
        <v>5.9999999999999995E-4</v>
      </c>
      <c r="R28">
        <f>IF(ISNA(MATCH(R$16,FuelTechs!$D$9:$D$58,0)),"",CombustionEmissions!H8)</f>
        <v>5.9999999999999995E-4</v>
      </c>
      <c r="S28">
        <f>IF(ISNA(MATCH(S$16,FuelTechs!$D$9:$D$58,0)),"",CombustionEmissions!I8)</f>
        <v>5.9999999999999995E-4</v>
      </c>
      <c r="T28">
        <f>IF(ISNA(MATCH(T$16,FuelTechs!$D$9:$D$58,0)),"",CombustionEmissions!J8)</f>
        <v>5.9999999999999995E-4</v>
      </c>
      <c r="U28">
        <f>IF(ISNA(MATCH(U$16,FuelTechs!$D$9:$D$58,0)),"",CombustionEmissions!K8)</f>
        <v>1E-4</v>
      </c>
    </row>
    <row r="29" spans="1:21" x14ac:dyDescent="0.25">
      <c r="A29" t="str">
        <f t="shared" si="6"/>
        <v>Commerce Sulphur gases</v>
      </c>
      <c r="B29" t="str">
        <f t="shared" si="7"/>
        <v>COMSOXS</v>
      </c>
      <c r="L29" t="str">
        <f>IF(ISNA(MATCH(V$16,FuelTechs!$D$9:$D$58,0)),"",CombustionEmissions!L9)</f>
        <v/>
      </c>
      <c r="M29">
        <f>IF(ISNA(MATCH(M$16,FuelTechs!$D$9:$D$58,0)),"",CombustionEmissions!C9)</f>
        <v>0.62619999999999998</v>
      </c>
      <c r="N29" t="str">
        <f>IF(ISNA(MATCH(N$16,FuelTechs!$D$9:$D$58,0)),"",CombustionEmissions!D9)</f>
        <v/>
      </c>
      <c r="O29">
        <f>IF(ISNA(MATCH(O$16,FuelTechs!$D$9:$D$58,0)),"",CombustionEmissions!E9)</f>
        <v>0</v>
      </c>
      <c r="P29" t="str">
        <f>IF(ISNA(MATCH(P$16,FuelTechs!$D$9:$D$58,0)),"",CombustionEmissions!F9)</f>
        <v/>
      </c>
      <c r="Q29">
        <f>IF(ISNA(MATCH(Q$16,FuelTechs!$D$9:$D$58,0)),"",CombustionEmissions!G9)</f>
        <v>0.25290000000000001</v>
      </c>
      <c r="R29">
        <f>IF(ISNA(MATCH(R$16,FuelTechs!$D$9:$D$58,0)),"",CombustionEmissions!H9)</f>
        <v>4.6699999999999998E-2</v>
      </c>
      <c r="S29">
        <f>IF(ISNA(MATCH(S$16,FuelTechs!$D$9:$D$58,0)),"",CombustionEmissions!I9)</f>
        <v>1.5290999999999999</v>
      </c>
      <c r="T29">
        <f>IF(ISNA(MATCH(T$16,FuelTechs!$D$9:$D$58,0)),"",CombustionEmissions!J9)</f>
        <v>4.5900000000000003E-2</v>
      </c>
      <c r="U29">
        <f>IF(ISNA(MATCH(U$16,FuelTechs!$D$9:$D$58,0)),"",CombustionEmissions!K9)</f>
        <v>5.4089999999999998</v>
      </c>
    </row>
    <row r="30" spans="1:21" x14ac:dyDescent="0.25">
      <c r="A30" t="str">
        <f t="shared" si="6"/>
        <v>Commerce Nitrogen gases</v>
      </c>
      <c r="B30" t="str">
        <f t="shared" si="7"/>
        <v>COMNOXS</v>
      </c>
      <c r="L30" t="str">
        <f>IF(ISNA(MATCH(V$16,FuelTechs!$D$9:$D$58,0)),"",CombustionEmissions!L10)</f>
        <v/>
      </c>
      <c r="M30">
        <f>IF(ISNA(MATCH(M$16,FuelTechs!$D$9:$D$58,0)),"",CombustionEmissions!C10)</f>
        <v>0.3</v>
      </c>
      <c r="N30" t="str">
        <f>IF(ISNA(MATCH(N$16,FuelTechs!$D$9:$D$58,0)),"",CombustionEmissions!D10)</f>
        <v/>
      </c>
      <c r="O30">
        <f>IF(ISNA(MATCH(O$16,FuelTechs!$D$9:$D$58,0)),"",CombustionEmissions!E10)</f>
        <v>0.15</v>
      </c>
      <c r="P30" t="str">
        <f>IF(ISNA(MATCH(P$16,FuelTechs!$D$9:$D$58,0)),"",CombustionEmissions!F10)</f>
        <v/>
      </c>
      <c r="Q30">
        <f>IF(ISNA(MATCH(Q$16,FuelTechs!$D$9:$D$58,0)),"",CombustionEmissions!G10)</f>
        <v>0.2</v>
      </c>
      <c r="R30">
        <f>IF(ISNA(MATCH(R$16,FuelTechs!$D$9:$D$58,0)),"",CombustionEmissions!H10)</f>
        <v>0.6</v>
      </c>
      <c r="S30">
        <f>IF(ISNA(MATCH(S$16,FuelTechs!$D$9:$D$58,0)),"",CombustionEmissions!I10)</f>
        <v>0.2</v>
      </c>
      <c r="T30">
        <f>IF(ISNA(MATCH(T$16,FuelTechs!$D$9:$D$58,0)),"",CombustionEmissions!J10)</f>
        <v>0.2</v>
      </c>
      <c r="U30">
        <f>IF(ISNA(MATCH(U$16,FuelTechs!$D$9:$D$58,0)),"",CombustionEmissions!K10)</f>
        <v>1.2460000000000001E-2</v>
      </c>
    </row>
    <row r="31" spans="1:21" x14ac:dyDescent="0.25">
      <c r="A31" t="str">
        <f t="shared" si="6"/>
        <v>Commerce Carbon monoxide</v>
      </c>
      <c r="B31" t="str">
        <f t="shared" si="7"/>
        <v>COMCMOX</v>
      </c>
      <c r="L31" t="str">
        <f>IF(ISNA(MATCH(V$16,FuelTechs!$D$9:$D$58,0)),"",CombustionEmissions!L11)</f>
        <v/>
      </c>
      <c r="M31">
        <f>IF(ISNA(MATCH(M$16,FuelTechs!$D$9:$D$58,0)),"",CombustionEmissions!C11)</f>
        <v>0.02</v>
      </c>
      <c r="N31" t="str">
        <f>IF(ISNA(MATCH(N$16,FuelTechs!$D$9:$D$58,0)),"",CombustionEmissions!D11)</f>
        <v/>
      </c>
      <c r="O31">
        <f>IF(ISNA(MATCH(O$16,FuelTechs!$D$9:$D$58,0)),"",CombustionEmissions!E11)</f>
        <v>0.02</v>
      </c>
      <c r="P31" t="str">
        <f>IF(ISNA(MATCH(P$16,FuelTechs!$D$9:$D$58,0)),"",CombustionEmissions!F11)</f>
        <v/>
      </c>
      <c r="Q31">
        <f>IF(ISNA(MATCH(Q$16,FuelTechs!$D$9:$D$58,0)),"",CombustionEmissions!G11)</f>
        <v>1.4999999999999999E-2</v>
      </c>
      <c r="R31">
        <f>IF(ISNA(MATCH(R$16,FuelTechs!$D$9:$D$58,0)),"",CombustionEmissions!H11)</f>
        <v>8</v>
      </c>
      <c r="S31">
        <f>IF(ISNA(MATCH(S$16,FuelTechs!$D$9:$D$58,0)),"",CombustionEmissions!I11)</f>
        <v>0.01</v>
      </c>
      <c r="T31">
        <f>IF(ISNA(MATCH(T$16,FuelTechs!$D$9:$D$58,0)),"",CombustionEmissions!J11)</f>
        <v>0.01</v>
      </c>
      <c r="U31">
        <f>IF(ISNA(MATCH(U$16,FuelTechs!$D$9:$D$58,0)),"",CombustionEmissions!K11)</f>
        <v>0.182</v>
      </c>
    </row>
    <row r="32" spans="1:21" x14ac:dyDescent="0.25">
      <c r="A32" t="str">
        <f t="shared" si="6"/>
        <v>Commerce NMVOCs</v>
      </c>
      <c r="B32" t="str">
        <f t="shared" si="7"/>
        <v>COMNMVS</v>
      </c>
      <c r="L32" t="str">
        <f>IF(ISNA(MATCH(V$16,FuelTechs!$D$9:$D$58,0)),"",CombustionEmissions!L12)</f>
        <v/>
      </c>
      <c r="M32">
        <f>IF(ISNA(MATCH(M$16,FuelTechs!$D$9:$D$58,0)),"",CombustionEmissions!C12)</f>
        <v>5.0000000000000001E-3</v>
      </c>
      <c r="N32" t="str">
        <f>IF(ISNA(MATCH(N$16,FuelTechs!$D$9:$D$58,0)),"",CombustionEmissions!D12)</f>
        <v/>
      </c>
      <c r="O32">
        <f>IF(ISNA(MATCH(O$16,FuelTechs!$D$9:$D$58,0)),"",CombustionEmissions!E12)</f>
        <v>5.0000000000000001E-3</v>
      </c>
      <c r="P32" t="str">
        <f>IF(ISNA(MATCH(P$16,FuelTechs!$D$9:$D$58,0)),"",CombustionEmissions!F12)</f>
        <v/>
      </c>
      <c r="Q32">
        <f>IF(ISNA(MATCH(Q$16,FuelTechs!$D$9:$D$58,0)),"",CombustionEmissions!G12)</f>
        <v>5.0000000000000001E-3</v>
      </c>
      <c r="R32">
        <f>IF(ISNA(MATCH(R$16,FuelTechs!$D$9:$D$58,0)),"",CombustionEmissions!H12)</f>
        <v>1.5</v>
      </c>
      <c r="S32">
        <f>IF(ISNA(MATCH(S$16,FuelTechs!$D$9:$D$58,0)),"",CombustionEmissions!I12)</f>
        <v>5.0000000000000001E-3</v>
      </c>
      <c r="T32">
        <f>IF(ISNA(MATCH(T$16,FuelTechs!$D$9:$D$58,0)),"",CombustionEmissions!J12)</f>
        <v>5.0000000000000001E-3</v>
      </c>
      <c r="U32">
        <f>IF(ISNA(MATCH(U$16,FuelTechs!$D$9:$D$58,0)),"",CombustionEmissions!K12)</f>
        <v>2.3699999999999999E-2</v>
      </c>
    </row>
    <row r="33" spans="1:41" x14ac:dyDescent="0.25">
      <c r="A33" t="str">
        <f t="shared" si="6"/>
        <v>Commerce PM10</v>
      </c>
      <c r="B33" t="str">
        <f t="shared" si="7"/>
        <v>COMP10S</v>
      </c>
      <c r="L33" t="str">
        <f>IF(ISNA(MATCH(V$16,FuelTechs!$D$9:$D$58,0)),"",CombustionEmissions!L13)</f>
        <v/>
      </c>
      <c r="M33">
        <f>IF(ISNA(MATCH(M$16,FuelTechs!$D$9:$D$58,0)),"",CombustionEmissions!C13)</f>
        <v>4.5769644752755773E-2</v>
      </c>
      <c r="N33" t="str">
        <f>IF(ISNA(MATCH(N$16,FuelTechs!$D$9:$D$58,0)),"",CombustionEmissions!D13)</f>
        <v/>
      </c>
      <c r="O33">
        <f>IF(ISNA(MATCH(O$16,FuelTechs!$D$9:$D$58,0)),"",CombustionEmissions!E13)</f>
        <v>0</v>
      </c>
      <c r="P33" t="str">
        <f>IF(ISNA(MATCH(P$16,FuelTechs!$D$9:$D$58,0)),"",CombustionEmissions!F13)</f>
        <v/>
      </c>
      <c r="Q33">
        <f>IF(ISNA(MATCH(Q$16,FuelTechs!$D$9:$D$58,0)),"",CombustionEmissions!G13)</f>
        <v>0</v>
      </c>
      <c r="R33">
        <f>IF(ISNA(MATCH(R$16,FuelTechs!$D$9:$D$58,0)),"",CombustionEmissions!H13)</f>
        <v>0</v>
      </c>
      <c r="S33">
        <f>IF(ISNA(MATCH(S$16,FuelTechs!$D$9:$D$58,0)),"",CombustionEmissions!I13)</f>
        <v>0</v>
      </c>
      <c r="T33">
        <f>IF(ISNA(MATCH(T$16,FuelTechs!$D$9:$D$58,0)),"",CombustionEmissions!J13)</f>
        <v>0</v>
      </c>
      <c r="U33">
        <f>IF(ISNA(MATCH(U$16,FuelTechs!$D$9:$D$58,0)),"",CombustionEmissions!K13)</f>
        <v>0</v>
      </c>
    </row>
    <row r="34" spans="1:41" x14ac:dyDescent="0.25">
      <c r="A34" t="s">
        <v>356</v>
      </c>
      <c r="B34" t="s">
        <v>1</v>
      </c>
    </row>
    <row r="35" spans="1:41" x14ac:dyDescent="0.25">
      <c r="A35" t="str">
        <f t="shared" ref="A35:A42" si="8">B$34&amp;" "&amp;A6</f>
        <v>Industry Carbon dioxide</v>
      </c>
      <c r="B35" t="str">
        <f t="shared" ref="B35:B42" si="9">W$15&amp;B6</f>
        <v>INDCO2S</v>
      </c>
      <c r="W35">
        <f>IF(ISNA(MATCH(W$16,FuelTechs!$D$9:$D$58,0)),"",CombustionEmissions!C6)</f>
        <v>96.25</v>
      </c>
      <c r="X35">
        <f>IF(ISNA(MATCH(X$16,FuelTechs!$D$9:$D$58,0)),"",CombustionEmissions!D6)</f>
        <v>96.25</v>
      </c>
      <c r="Y35">
        <f>IF(ISNA(MATCH(Y$16,FuelTechs!$D$9:$D$58,0)),"",CombustionEmissions!E6)</f>
        <v>56.1</v>
      </c>
      <c r="Z35" t="str">
        <f>IF(ISNA(MATCH(Z$16,FuelTechs!$D$9:$D$58,0)),"",CombustionEmissions!F6)</f>
        <v/>
      </c>
      <c r="AA35">
        <f>IF(ISNA(MATCH(AA$16,FuelTechs!$D$9:$D$58,0)),"",CombustionEmissions!G6)</f>
        <v>74.066699999999997</v>
      </c>
      <c r="AB35">
        <f>IF(ISNA(MATCH(AB$16,FuelTechs!$D$9:$D$58,0)),"",CombustionEmissions!H6)</f>
        <v>69.3</v>
      </c>
      <c r="AC35">
        <f>IF(ISNA(MATCH(AC$16,FuelTechs!$D$9:$D$58,0)),"",CombustionEmissions!I6)</f>
        <v>77.400000000000006</v>
      </c>
      <c r="AD35" t="str">
        <f>IF(ISNA(MATCH(AD$16,FuelTechs!$D$9:$D$58,0)),"",CombustionEmissions!J6)</f>
        <v/>
      </c>
      <c r="AE35">
        <f>IF(ISNA(MATCH(AE$16,FuelTechs!$D$9:$D$58,0)),"",CombustionEmissions!K6)</f>
        <v>63.1</v>
      </c>
      <c r="AF35">
        <f>IF(ISNA(MATCH(AF$16,FuelTechs!$D$9:$D$58,0)),"",CombustionEmissions!L6)</f>
        <v>91.7</v>
      </c>
    </row>
    <row r="36" spans="1:41" x14ac:dyDescent="0.25">
      <c r="A36" t="str">
        <f t="shared" si="8"/>
        <v>Industry Methane</v>
      </c>
      <c r="B36" t="str">
        <f t="shared" si="9"/>
        <v>INDCH4S</v>
      </c>
      <c r="W36">
        <f>IF(ISNA(MATCH(W$16,FuelTechs!$D$9:$D$58,0)),"",CombustionEmissions!C7)</f>
        <v>1E-3</v>
      </c>
      <c r="X36">
        <f>IF(ISNA(MATCH(X$16,FuelTechs!$D$9:$D$58,0)),"",CombustionEmissions!D7)</f>
        <v>1E-3</v>
      </c>
      <c r="Y36">
        <f>IF(ISNA(MATCH(Y$16,FuelTechs!$D$9:$D$58,0)),"",CombustionEmissions!E7)</f>
        <v>1E-3</v>
      </c>
      <c r="Z36" t="str">
        <f>IF(ISNA(MATCH(Z$16,FuelTechs!$D$9:$D$58,0)),"",CombustionEmissions!F7)</f>
        <v/>
      </c>
      <c r="AA36">
        <f>IF(ISNA(MATCH(AA$16,FuelTechs!$D$9:$D$58,0)),"",CombustionEmissions!G7)</f>
        <v>3.0000000000000001E-3</v>
      </c>
      <c r="AB36">
        <f>IF(ISNA(MATCH(AB$16,FuelTechs!$D$9:$D$58,0)),"",CombustionEmissions!H7)</f>
        <v>3.0000000000000001E-3</v>
      </c>
      <c r="AC36">
        <f>IF(ISNA(MATCH(AC$16,FuelTechs!$D$9:$D$58,0)),"",CombustionEmissions!I7)</f>
        <v>3.0000000000000001E-3</v>
      </c>
      <c r="AD36" t="str">
        <f>IF(ISNA(MATCH(AD$16,FuelTechs!$D$9:$D$58,0)),"",CombustionEmissions!J7)</f>
        <v/>
      </c>
      <c r="AE36">
        <f>IF(ISNA(MATCH(AE$16,FuelTechs!$D$9:$D$58,0)),"",CombustionEmissions!K7)</f>
        <v>3.0000000000000001E-3</v>
      </c>
      <c r="AF36">
        <f>IF(ISNA(MATCH(AF$16,FuelTechs!$D$9:$D$58,0)),"",CombustionEmissions!L7)</f>
        <v>0.03</v>
      </c>
    </row>
    <row r="37" spans="1:41" x14ac:dyDescent="0.25">
      <c r="A37" t="str">
        <f t="shared" si="8"/>
        <v>Industry Nitrous Oxide</v>
      </c>
      <c r="B37" t="str">
        <f t="shared" si="9"/>
        <v>INDN2OS</v>
      </c>
      <c r="W37">
        <f>IF(ISNA(MATCH(W$16,FuelTechs!$D$9:$D$58,0)),"",CombustionEmissions!C8)</f>
        <v>1.4E-3</v>
      </c>
      <c r="X37">
        <f>IF(ISNA(MATCH(X$16,FuelTechs!$D$9:$D$58,0)),"",CombustionEmissions!D8)</f>
        <v>1.4E-3</v>
      </c>
      <c r="Y37">
        <f>IF(ISNA(MATCH(Y$16,FuelTechs!$D$9:$D$58,0)),"",CombustionEmissions!E8)</f>
        <v>1E-4</v>
      </c>
      <c r="Z37" t="str">
        <f>IF(ISNA(MATCH(Z$16,FuelTechs!$D$9:$D$58,0)),"",CombustionEmissions!F8)</f>
        <v/>
      </c>
      <c r="AA37">
        <f>IF(ISNA(MATCH(AA$16,FuelTechs!$D$9:$D$58,0)),"",CombustionEmissions!G8)</f>
        <v>5.9999999999999995E-4</v>
      </c>
      <c r="AB37">
        <f>IF(ISNA(MATCH(AB$16,FuelTechs!$D$9:$D$58,0)),"",CombustionEmissions!H8)</f>
        <v>5.9999999999999995E-4</v>
      </c>
      <c r="AC37">
        <f>IF(ISNA(MATCH(AC$16,FuelTechs!$D$9:$D$58,0)),"",CombustionEmissions!I8)</f>
        <v>5.9999999999999995E-4</v>
      </c>
      <c r="AD37" t="str">
        <f>IF(ISNA(MATCH(AD$16,FuelTechs!$D$9:$D$58,0)),"",CombustionEmissions!J8)</f>
        <v/>
      </c>
      <c r="AE37">
        <f>IF(ISNA(MATCH(AE$16,FuelTechs!$D$9:$D$58,0)),"",CombustionEmissions!K8)</f>
        <v>1E-4</v>
      </c>
      <c r="AF37">
        <f>IF(ISNA(MATCH(AF$16,FuelTechs!$D$9:$D$58,0)),"",CombustionEmissions!L8)</f>
        <v>4.0000000000000001E-3</v>
      </c>
    </row>
    <row r="38" spans="1:41" x14ac:dyDescent="0.25">
      <c r="A38" t="str">
        <f t="shared" si="8"/>
        <v>Industry Sulphur gases</v>
      </c>
      <c r="B38" t="str">
        <f t="shared" si="9"/>
        <v>INDSOXS</v>
      </c>
      <c r="W38">
        <f>IF(ISNA(MATCH(W$16,FuelTechs!$D$9:$D$58,0)),"",CombustionEmissions!C9)</f>
        <v>0.62619999999999998</v>
      </c>
      <c r="X38">
        <f>IF(ISNA(MATCH(X$16,FuelTechs!$D$9:$D$58,0)),"",CombustionEmissions!D9)</f>
        <v>0.62619999999999998</v>
      </c>
      <c r="Y38">
        <f>IF(ISNA(MATCH(Y$16,FuelTechs!$D$9:$D$58,0)),"",CombustionEmissions!E9)</f>
        <v>0</v>
      </c>
      <c r="Z38" t="str">
        <f>IF(ISNA(MATCH(Z$16,FuelTechs!$D$9:$D$58,0)),"",CombustionEmissions!F9)</f>
        <v/>
      </c>
      <c r="AA38">
        <f>IF(ISNA(MATCH(AA$16,FuelTechs!$D$9:$D$58,0)),"",CombustionEmissions!G9)</f>
        <v>0.25290000000000001</v>
      </c>
      <c r="AB38">
        <f>IF(ISNA(MATCH(AB$16,FuelTechs!$D$9:$D$58,0)),"",CombustionEmissions!H9)</f>
        <v>4.6699999999999998E-2</v>
      </c>
      <c r="AC38">
        <f>IF(ISNA(MATCH(AC$16,FuelTechs!$D$9:$D$58,0)),"",CombustionEmissions!I9)</f>
        <v>1.5290999999999999</v>
      </c>
      <c r="AD38" t="str">
        <f>IF(ISNA(MATCH(AD$16,FuelTechs!$D$9:$D$58,0)),"",CombustionEmissions!J9)</f>
        <v/>
      </c>
      <c r="AE38">
        <f>IF(ISNA(MATCH(AE$16,FuelTechs!$D$9:$D$58,0)),"",CombustionEmissions!K9)</f>
        <v>5.4089999999999998</v>
      </c>
      <c r="AF38">
        <f>IF(ISNA(MATCH(AF$16,FuelTechs!$D$9:$D$58,0)),"",CombustionEmissions!L9)</f>
        <v>1.5290999999999999</v>
      </c>
    </row>
    <row r="39" spans="1:41" x14ac:dyDescent="0.25">
      <c r="A39" t="str">
        <f t="shared" si="8"/>
        <v>Industry Nitrogen gases</v>
      </c>
      <c r="B39" t="str">
        <f t="shared" si="9"/>
        <v>INDNOXS</v>
      </c>
      <c r="W39">
        <f>IF(ISNA(MATCH(W$16,FuelTechs!$D$9:$D$58,0)),"",CombustionEmissions!C10)</f>
        <v>0.3</v>
      </c>
      <c r="X39">
        <f>IF(ISNA(MATCH(X$16,FuelTechs!$D$9:$D$58,0)),"",CombustionEmissions!D10)</f>
        <v>0.3</v>
      </c>
      <c r="Y39">
        <f>IF(ISNA(MATCH(Y$16,FuelTechs!$D$9:$D$58,0)),"",CombustionEmissions!E10)</f>
        <v>0.15</v>
      </c>
      <c r="Z39" t="str">
        <f>IF(ISNA(MATCH(Z$16,FuelTechs!$D$9:$D$58,0)),"",CombustionEmissions!F10)</f>
        <v/>
      </c>
      <c r="AA39">
        <f>IF(ISNA(MATCH(AA$16,FuelTechs!$D$9:$D$58,0)),"",CombustionEmissions!G10)</f>
        <v>0.2</v>
      </c>
      <c r="AB39">
        <f>IF(ISNA(MATCH(AB$16,FuelTechs!$D$9:$D$58,0)),"",CombustionEmissions!H10)</f>
        <v>0.6</v>
      </c>
      <c r="AC39">
        <f>IF(ISNA(MATCH(AC$16,FuelTechs!$D$9:$D$58,0)),"",CombustionEmissions!I10)</f>
        <v>0.2</v>
      </c>
      <c r="AD39" t="str">
        <f>IF(ISNA(MATCH(AD$16,FuelTechs!$D$9:$D$58,0)),"",CombustionEmissions!J10)</f>
        <v/>
      </c>
      <c r="AE39">
        <f>IF(ISNA(MATCH(AE$16,FuelTechs!$D$9:$D$58,0)),"",CombustionEmissions!K10)</f>
        <v>1.2460000000000001E-2</v>
      </c>
      <c r="AF39">
        <f>IF(ISNA(MATCH(AF$16,FuelTechs!$D$9:$D$58,0)),"",CombustionEmissions!L10)</f>
        <v>0.2</v>
      </c>
    </row>
    <row r="40" spans="1:41" x14ac:dyDescent="0.25">
      <c r="A40" t="str">
        <f t="shared" si="8"/>
        <v>Industry Carbon monoxide</v>
      </c>
      <c r="B40" t="str">
        <f t="shared" si="9"/>
        <v>INDCMOX</v>
      </c>
      <c r="W40">
        <f>IF(ISNA(MATCH(W$16,FuelTechs!$D$9:$D$58,0)),"",CombustionEmissions!C11)</f>
        <v>0.02</v>
      </c>
      <c r="X40">
        <f>IF(ISNA(MATCH(X$16,FuelTechs!$D$9:$D$58,0)),"",CombustionEmissions!D11)</f>
        <v>0.02</v>
      </c>
      <c r="Y40">
        <f>IF(ISNA(MATCH(Y$16,FuelTechs!$D$9:$D$58,0)),"",CombustionEmissions!E11)</f>
        <v>0.02</v>
      </c>
      <c r="Z40" t="str">
        <f>IF(ISNA(MATCH(Z$16,FuelTechs!$D$9:$D$58,0)),"",CombustionEmissions!F11)</f>
        <v/>
      </c>
      <c r="AA40">
        <f>IF(ISNA(MATCH(AA$16,FuelTechs!$D$9:$D$58,0)),"",CombustionEmissions!G11)</f>
        <v>1.4999999999999999E-2</v>
      </c>
      <c r="AB40">
        <f>IF(ISNA(MATCH(AB$16,FuelTechs!$D$9:$D$58,0)),"",CombustionEmissions!H11)</f>
        <v>8</v>
      </c>
      <c r="AC40">
        <f>IF(ISNA(MATCH(AC$16,FuelTechs!$D$9:$D$58,0)),"",CombustionEmissions!I11)</f>
        <v>0.01</v>
      </c>
      <c r="AD40" t="str">
        <f>IF(ISNA(MATCH(AD$16,FuelTechs!$D$9:$D$58,0)),"",CombustionEmissions!J11)</f>
        <v/>
      </c>
      <c r="AE40">
        <f>IF(ISNA(MATCH(AE$16,FuelTechs!$D$9:$D$58,0)),"",CombustionEmissions!K11)</f>
        <v>0.182</v>
      </c>
      <c r="AF40">
        <f>IF(ISNA(MATCH(AF$16,FuelTechs!$D$9:$D$58,0)),"",CombustionEmissions!L11)</f>
        <v>0.01</v>
      </c>
    </row>
    <row r="41" spans="1:41" x14ac:dyDescent="0.25">
      <c r="A41" t="str">
        <f t="shared" si="8"/>
        <v>Industry NMVOCs</v>
      </c>
      <c r="B41" t="str">
        <f t="shared" si="9"/>
        <v>INDNMVS</v>
      </c>
      <c r="W41">
        <f>IF(ISNA(MATCH(W$16,FuelTechs!$D$9:$D$58,0)),"",CombustionEmissions!C12)</f>
        <v>5.0000000000000001E-3</v>
      </c>
      <c r="X41">
        <f>IF(ISNA(MATCH(X$16,FuelTechs!$D$9:$D$58,0)),"",CombustionEmissions!D12)</f>
        <v>5.0000000000000001E-3</v>
      </c>
      <c r="Y41">
        <f>IF(ISNA(MATCH(Y$16,FuelTechs!$D$9:$D$58,0)),"",CombustionEmissions!E12)</f>
        <v>5.0000000000000001E-3</v>
      </c>
      <c r="Z41" t="str">
        <f>IF(ISNA(MATCH(Z$16,FuelTechs!$D$9:$D$58,0)),"",CombustionEmissions!F12)</f>
        <v/>
      </c>
      <c r="AA41">
        <f>IF(ISNA(MATCH(AA$16,FuelTechs!$D$9:$D$58,0)),"",CombustionEmissions!G12)</f>
        <v>5.0000000000000001E-3</v>
      </c>
      <c r="AB41">
        <f>IF(ISNA(MATCH(AB$16,FuelTechs!$D$9:$D$58,0)),"",CombustionEmissions!H12)</f>
        <v>1.5</v>
      </c>
      <c r="AC41">
        <f>IF(ISNA(MATCH(AC$16,FuelTechs!$D$9:$D$58,0)),"",CombustionEmissions!I12)</f>
        <v>5.0000000000000001E-3</v>
      </c>
      <c r="AD41" t="str">
        <f>IF(ISNA(MATCH(AD$16,FuelTechs!$D$9:$D$58,0)),"",CombustionEmissions!J12)</f>
        <v/>
      </c>
      <c r="AE41">
        <f>IF(ISNA(MATCH(AE$16,FuelTechs!$D$9:$D$58,0)),"",CombustionEmissions!K12)</f>
        <v>2.3699999999999999E-2</v>
      </c>
      <c r="AF41">
        <f>IF(ISNA(MATCH(AF$16,FuelTechs!$D$9:$D$58,0)),"",CombustionEmissions!L12)</f>
        <v>5.0000000000000001E-3</v>
      </c>
    </row>
    <row r="42" spans="1:41" x14ac:dyDescent="0.25">
      <c r="A42" t="str">
        <f t="shared" si="8"/>
        <v>Industry PM10</v>
      </c>
      <c r="B42" t="str">
        <f t="shared" si="9"/>
        <v>INDP10S</v>
      </c>
      <c r="W42">
        <f>IF(ISNA(MATCH(W$16,FuelTechs!$D$9:$D$58,0)),"",CombustionEmissions!C13)</f>
        <v>4.5769644752755773E-2</v>
      </c>
      <c r="X42">
        <f>IF(ISNA(MATCH(X$16,FuelTechs!$D$9:$D$58,0)),"",CombustionEmissions!D13)</f>
        <v>4.5769644752755773E-2</v>
      </c>
      <c r="Y42">
        <f>IF(ISNA(MATCH(Y$16,FuelTechs!$D$9:$D$58,0)),"",CombustionEmissions!E13)</f>
        <v>0</v>
      </c>
      <c r="Z42" t="str">
        <f>IF(ISNA(MATCH(Z$16,FuelTechs!$D$9:$D$58,0)),"",CombustionEmissions!F13)</f>
        <v/>
      </c>
      <c r="AA42">
        <f>IF(ISNA(MATCH(AA$16,FuelTechs!$D$9:$D$58,0)),"",CombustionEmissions!G13)</f>
        <v>0</v>
      </c>
      <c r="AB42">
        <f>IF(ISNA(MATCH(AB$16,FuelTechs!$D$9:$D$58,0)),"",CombustionEmissions!H13)</f>
        <v>0</v>
      </c>
      <c r="AC42">
        <f>IF(ISNA(MATCH(AC$16,FuelTechs!$D$9:$D$58,0)),"",CombustionEmissions!I13)</f>
        <v>0</v>
      </c>
      <c r="AD42" t="str">
        <f>IF(ISNA(MATCH(AD$16,FuelTechs!$D$9:$D$58,0)),"",CombustionEmissions!J13)</f>
        <v/>
      </c>
      <c r="AE42">
        <f>IF(ISNA(MATCH(AE$16,FuelTechs!$D$9:$D$58,0)),"",CombustionEmissions!K13)</f>
        <v>0</v>
      </c>
      <c r="AF42">
        <f>IF(ISNA(MATCH(AF$16,FuelTechs!$D$9:$D$58,0)),"",CombustionEmissions!L13)</f>
        <v>0</v>
      </c>
    </row>
    <row r="43" spans="1:41" x14ac:dyDescent="0.25">
      <c r="A43" t="s">
        <v>356</v>
      </c>
      <c r="B43" t="s">
        <v>3</v>
      </c>
    </row>
    <row r="44" spans="1:41" x14ac:dyDescent="0.25">
      <c r="A44" t="str">
        <f t="shared" ref="A44:A51" si="10">B$43&amp;" "&amp;A6</f>
        <v>Residential Carbon dioxide</v>
      </c>
      <c r="B44" t="str">
        <f t="shared" ref="B44:B51" si="11">AG$15&amp;B6</f>
        <v>RESCO2S</v>
      </c>
      <c r="L44" t="str">
        <f>IF(ISNA(MATCH(AP$16,FuelTechs!$D$9:$D$58,0)),"",CombustionEmissions!L6)</f>
        <v/>
      </c>
      <c r="AG44">
        <f>IF(ISNA(MATCH(AG$16,FuelTechs!$D$9:$D$58,0)),"",CombustionEmissions!C6)</f>
        <v>96.25</v>
      </c>
      <c r="AH44" t="str">
        <f>IF(ISNA(MATCH(AH$16,FuelTechs!$D$9:$D$58,0)),"",CombustionEmissions!D6)</f>
        <v/>
      </c>
      <c r="AI44">
        <f>IF(ISNA(MATCH(AI$16,FuelTechs!$D$9:$D$58,0)),"",CombustionEmissions!E6)</f>
        <v>56.1</v>
      </c>
      <c r="AJ44" t="str">
        <f>IF(ISNA(MATCH(AJ$16,FuelTechs!$D$9:$D$58,0)),"",CombustionEmissions!F6)</f>
        <v/>
      </c>
      <c r="AK44" t="str">
        <f>IF(ISNA(MATCH(AK$16,FuelTechs!$D$9:$D$58,0)),"",CombustionEmissions!G6)</f>
        <v/>
      </c>
      <c r="AL44" t="str">
        <f>IF(ISNA(MATCH(AL$16,FuelTechs!$D$9:$D$58,0)),"",CombustionEmissions!H6)</f>
        <v/>
      </c>
      <c r="AM44" t="str">
        <f>IF(ISNA(MATCH(AM$16,FuelTechs!$D$9:$D$58,0)),"",CombustionEmissions!I6)</f>
        <v/>
      </c>
      <c r="AN44">
        <f>IF(ISNA(MATCH(AN$16,FuelTechs!$D$9:$D$58,0)),"",CombustionEmissions!J6)</f>
        <v>72.900000000000006</v>
      </c>
      <c r="AO44">
        <f>IF(ISNA(MATCH(AO$16,FuelTechs!$D$9:$D$58,0)),"",CombustionEmissions!K6)</f>
        <v>63.1</v>
      </c>
    </row>
    <row r="45" spans="1:41" x14ac:dyDescent="0.25">
      <c r="A45" t="str">
        <f t="shared" si="10"/>
        <v>Residential Methane</v>
      </c>
      <c r="B45" t="str">
        <f t="shared" si="11"/>
        <v>RESCH4S</v>
      </c>
      <c r="L45" t="str">
        <f>IF(ISNA(MATCH(AP$16,FuelTechs!$D$9:$D$58,0)),"",CombustionEmissions!L7)</f>
        <v/>
      </c>
      <c r="AG45">
        <f>IF(ISNA(MATCH(AG$16,FuelTechs!$D$9:$D$58,0)),"",CombustionEmissions!C7)</f>
        <v>1E-3</v>
      </c>
      <c r="AH45" t="str">
        <f>IF(ISNA(MATCH(AH$16,FuelTechs!$D$9:$D$58,0)),"",CombustionEmissions!D7)</f>
        <v/>
      </c>
      <c r="AI45">
        <f>IF(ISNA(MATCH(AI$16,FuelTechs!$D$9:$D$58,0)),"",CombustionEmissions!E7)</f>
        <v>1E-3</v>
      </c>
      <c r="AJ45" t="str">
        <f>IF(ISNA(MATCH(AJ$16,FuelTechs!$D$9:$D$58,0)),"",CombustionEmissions!F7)</f>
        <v/>
      </c>
      <c r="AK45" t="str">
        <f>IF(ISNA(MATCH(AK$16,FuelTechs!$D$9:$D$58,0)),"",CombustionEmissions!G7)</f>
        <v/>
      </c>
      <c r="AL45" t="str">
        <f>IF(ISNA(MATCH(AL$16,FuelTechs!$D$9:$D$58,0)),"",CombustionEmissions!H7)</f>
        <v/>
      </c>
      <c r="AM45" t="str">
        <f>IF(ISNA(MATCH(AM$16,FuelTechs!$D$9:$D$58,0)),"",CombustionEmissions!I7)</f>
        <v/>
      </c>
      <c r="AN45">
        <f>IF(ISNA(MATCH(AN$16,FuelTechs!$D$9:$D$58,0)),"",CombustionEmissions!J7)</f>
        <v>3.0000000000000001E-3</v>
      </c>
      <c r="AO45">
        <f>IF(ISNA(MATCH(AO$16,FuelTechs!$D$9:$D$58,0)),"",CombustionEmissions!K7)</f>
        <v>3.0000000000000001E-3</v>
      </c>
    </row>
    <row r="46" spans="1:41" x14ac:dyDescent="0.25">
      <c r="A46" t="str">
        <f t="shared" si="10"/>
        <v>Residential Nitrous Oxide</v>
      </c>
      <c r="B46" t="str">
        <f t="shared" si="11"/>
        <v>RESN2OS</v>
      </c>
      <c r="L46" t="str">
        <f>IF(ISNA(MATCH(AP$16,FuelTechs!$D$9:$D$58,0)),"",CombustionEmissions!L8)</f>
        <v/>
      </c>
      <c r="AG46">
        <f>IF(ISNA(MATCH(AG$16,FuelTechs!$D$9:$D$58,0)),"",CombustionEmissions!C8)</f>
        <v>1.4E-3</v>
      </c>
      <c r="AH46" t="str">
        <f>IF(ISNA(MATCH(AH$16,FuelTechs!$D$9:$D$58,0)),"",CombustionEmissions!D8)</f>
        <v/>
      </c>
      <c r="AI46">
        <f>IF(ISNA(MATCH(AI$16,FuelTechs!$D$9:$D$58,0)),"",CombustionEmissions!E8)</f>
        <v>1E-4</v>
      </c>
      <c r="AJ46" t="str">
        <f>IF(ISNA(MATCH(AJ$16,FuelTechs!$D$9:$D$58,0)),"",CombustionEmissions!F8)</f>
        <v/>
      </c>
      <c r="AK46" t="str">
        <f>IF(ISNA(MATCH(AK$16,FuelTechs!$D$9:$D$58,0)),"",CombustionEmissions!G8)</f>
        <v/>
      </c>
      <c r="AL46" t="str">
        <f>IF(ISNA(MATCH(AL$16,FuelTechs!$D$9:$D$58,0)),"",CombustionEmissions!H8)</f>
        <v/>
      </c>
      <c r="AM46" t="str">
        <f>IF(ISNA(MATCH(AM$16,FuelTechs!$D$9:$D$58,0)),"",CombustionEmissions!I8)</f>
        <v/>
      </c>
      <c r="AN46">
        <f>IF(ISNA(MATCH(AN$16,FuelTechs!$D$9:$D$58,0)),"",CombustionEmissions!J8)</f>
        <v>5.9999999999999995E-4</v>
      </c>
      <c r="AO46">
        <f>IF(ISNA(MATCH(AO$16,FuelTechs!$D$9:$D$58,0)),"",CombustionEmissions!K8)</f>
        <v>1E-4</v>
      </c>
    </row>
    <row r="47" spans="1:41" x14ac:dyDescent="0.25">
      <c r="A47" t="str">
        <f t="shared" si="10"/>
        <v>Residential Sulphur gases</v>
      </c>
      <c r="B47" t="str">
        <f t="shared" si="11"/>
        <v>RESSOXS</v>
      </c>
      <c r="L47" t="str">
        <f>IF(ISNA(MATCH(AP$16,FuelTechs!$D$9:$D$58,0)),"",CombustionEmissions!L9)</f>
        <v/>
      </c>
      <c r="AG47">
        <f>IF(ISNA(MATCH(AG$16,FuelTechs!$D$9:$D$58,0)),"",CombustionEmissions!C9)</f>
        <v>0.62619999999999998</v>
      </c>
      <c r="AH47" t="str">
        <f>IF(ISNA(MATCH(AH$16,FuelTechs!$D$9:$D$58,0)),"",CombustionEmissions!D9)</f>
        <v/>
      </c>
      <c r="AI47">
        <f>IF(ISNA(MATCH(AI$16,FuelTechs!$D$9:$D$58,0)),"",CombustionEmissions!E9)</f>
        <v>0</v>
      </c>
      <c r="AJ47" t="str">
        <f>IF(ISNA(MATCH(AJ$16,FuelTechs!$D$9:$D$58,0)),"",CombustionEmissions!F9)</f>
        <v/>
      </c>
      <c r="AK47" t="str">
        <f>IF(ISNA(MATCH(AK$16,FuelTechs!$D$9:$D$58,0)),"",CombustionEmissions!G9)</f>
        <v/>
      </c>
      <c r="AL47" t="str">
        <f>IF(ISNA(MATCH(AL$16,FuelTechs!$D$9:$D$58,0)),"",CombustionEmissions!H9)</f>
        <v/>
      </c>
      <c r="AM47" t="str">
        <f>IF(ISNA(MATCH(AM$16,FuelTechs!$D$9:$D$58,0)),"",CombustionEmissions!I9)</f>
        <v/>
      </c>
      <c r="AN47">
        <f>IF(ISNA(MATCH(AN$16,FuelTechs!$D$9:$D$58,0)),"",CombustionEmissions!J9)</f>
        <v>4.5900000000000003E-2</v>
      </c>
      <c r="AO47">
        <f>IF(ISNA(MATCH(AO$16,FuelTechs!$D$9:$D$58,0)),"",CombustionEmissions!K9)</f>
        <v>5.4089999999999998</v>
      </c>
    </row>
    <row r="48" spans="1:41" x14ac:dyDescent="0.25">
      <c r="A48" t="str">
        <f t="shared" si="10"/>
        <v>Residential Nitrogen gases</v>
      </c>
      <c r="B48" t="str">
        <f t="shared" si="11"/>
        <v>RESNOXS</v>
      </c>
      <c r="L48" t="str">
        <f>IF(ISNA(MATCH(AP$16,FuelTechs!$D$9:$D$58,0)),"",CombustionEmissions!L10)</f>
        <v/>
      </c>
      <c r="AG48">
        <f>IF(ISNA(MATCH(AG$16,FuelTechs!$D$9:$D$58,0)),"",CombustionEmissions!C10)</f>
        <v>0.3</v>
      </c>
      <c r="AH48" t="str">
        <f>IF(ISNA(MATCH(AH$16,FuelTechs!$D$9:$D$58,0)),"",CombustionEmissions!D10)</f>
        <v/>
      </c>
      <c r="AI48">
        <f>IF(ISNA(MATCH(AI$16,FuelTechs!$D$9:$D$58,0)),"",CombustionEmissions!E10)</f>
        <v>0.15</v>
      </c>
      <c r="AJ48" t="str">
        <f>IF(ISNA(MATCH(AJ$16,FuelTechs!$D$9:$D$58,0)),"",CombustionEmissions!F10)</f>
        <v/>
      </c>
      <c r="AK48" t="str">
        <f>IF(ISNA(MATCH(AK$16,FuelTechs!$D$9:$D$58,0)),"",CombustionEmissions!G10)</f>
        <v/>
      </c>
      <c r="AL48" t="str">
        <f>IF(ISNA(MATCH(AL$16,FuelTechs!$D$9:$D$58,0)),"",CombustionEmissions!H10)</f>
        <v/>
      </c>
      <c r="AM48" t="str">
        <f>IF(ISNA(MATCH(AM$16,FuelTechs!$D$9:$D$58,0)),"",CombustionEmissions!I10)</f>
        <v/>
      </c>
      <c r="AN48">
        <f>IF(ISNA(MATCH(AN$16,FuelTechs!$D$9:$D$58,0)),"",CombustionEmissions!J10)</f>
        <v>0.2</v>
      </c>
      <c r="AO48">
        <f>IF(ISNA(MATCH(AO$16,FuelTechs!$D$9:$D$58,0)),"",CombustionEmissions!K10)</f>
        <v>1.2460000000000001E-2</v>
      </c>
    </row>
    <row r="49" spans="1:62" x14ac:dyDescent="0.25">
      <c r="A49" t="str">
        <f t="shared" si="10"/>
        <v>Residential Carbon monoxide</v>
      </c>
      <c r="B49" t="str">
        <f t="shared" si="11"/>
        <v>RESCMOX</v>
      </c>
      <c r="L49" t="str">
        <f>IF(ISNA(MATCH(AP$16,FuelTechs!$D$9:$D$58,0)),"",CombustionEmissions!L11)</f>
        <v/>
      </c>
      <c r="AG49">
        <f>IF(ISNA(MATCH(AG$16,FuelTechs!$D$9:$D$58,0)),"",CombustionEmissions!C11)</f>
        <v>0.02</v>
      </c>
      <c r="AH49" t="str">
        <f>IF(ISNA(MATCH(AH$16,FuelTechs!$D$9:$D$58,0)),"",CombustionEmissions!D11)</f>
        <v/>
      </c>
      <c r="AI49">
        <f>IF(ISNA(MATCH(AI$16,FuelTechs!$D$9:$D$58,0)),"",CombustionEmissions!E11)</f>
        <v>0.02</v>
      </c>
      <c r="AJ49" t="str">
        <f>IF(ISNA(MATCH(AJ$16,FuelTechs!$D$9:$D$58,0)),"",CombustionEmissions!F11)</f>
        <v/>
      </c>
      <c r="AK49" t="str">
        <f>IF(ISNA(MATCH(AK$16,FuelTechs!$D$9:$D$58,0)),"",CombustionEmissions!G11)</f>
        <v/>
      </c>
      <c r="AL49" t="str">
        <f>IF(ISNA(MATCH(AL$16,FuelTechs!$D$9:$D$58,0)),"",CombustionEmissions!H11)</f>
        <v/>
      </c>
      <c r="AM49" t="str">
        <f>IF(ISNA(MATCH(AM$16,FuelTechs!$D$9:$D$58,0)),"",CombustionEmissions!I11)</f>
        <v/>
      </c>
      <c r="AN49">
        <f>IF(ISNA(MATCH(AN$16,FuelTechs!$D$9:$D$58,0)),"",CombustionEmissions!J11)</f>
        <v>0.01</v>
      </c>
      <c r="AO49">
        <f>IF(ISNA(MATCH(AO$16,FuelTechs!$D$9:$D$58,0)),"",CombustionEmissions!K11)</f>
        <v>0.182</v>
      </c>
    </row>
    <row r="50" spans="1:62" x14ac:dyDescent="0.25">
      <c r="A50" t="str">
        <f t="shared" si="10"/>
        <v>Residential NMVOCs</v>
      </c>
      <c r="B50" t="str">
        <f t="shared" si="11"/>
        <v>RESNMVS</v>
      </c>
      <c r="L50" t="str">
        <f>IF(ISNA(MATCH(AP$16,FuelTechs!$D$9:$D$58,0)),"",CombustionEmissions!L12)</f>
        <v/>
      </c>
      <c r="AG50">
        <f>IF(ISNA(MATCH(AG$16,FuelTechs!$D$9:$D$58,0)),"",CombustionEmissions!C12)</f>
        <v>5.0000000000000001E-3</v>
      </c>
      <c r="AH50" t="str">
        <f>IF(ISNA(MATCH(AH$16,FuelTechs!$D$9:$D$58,0)),"",CombustionEmissions!D12)</f>
        <v/>
      </c>
      <c r="AI50">
        <f>IF(ISNA(MATCH(AI$16,FuelTechs!$D$9:$D$58,0)),"",CombustionEmissions!E12)</f>
        <v>5.0000000000000001E-3</v>
      </c>
      <c r="AJ50" t="str">
        <f>IF(ISNA(MATCH(AJ$16,FuelTechs!$D$9:$D$58,0)),"",CombustionEmissions!F12)</f>
        <v/>
      </c>
      <c r="AK50" t="str">
        <f>IF(ISNA(MATCH(AK$16,FuelTechs!$D$9:$D$58,0)),"",CombustionEmissions!G12)</f>
        <v/>
      </c>
      <c r="AL50" t="str">
        <f>IF(ISNA(MATCH(AL$16,FuelTechs!$D$9:$D$58,0)),"",CombustionEmissions!H12)</f>
        <v/>
      </c>
      <c r="AM50" t="str">
        <f>IF(ISNA(MATCH(AM$16,FuelTechs!$D$9:$D$58,0)),"",CombustionEmissions!I12)</f>
        <v/>
      </c>
      <c r="AN50">
        <f>IF(ISNA(MATCH(AN$16,FuelTechs!$D$9:$D$58,0)),"",CombustionEmissions!J12)</f>
        <v>5.0000000000000001E-3</v>
      </c>
      <c r="AO50">
        <f>IF(ISNA(MATCH(AO$16,FuelTechs!$D$9:$D$58,0)),"",CombustionEmissions!K12)</f>
        <v>2.3699999999999999E-2</v>
      </c>
    </row>
    <row r="51" spans="1:62" x14ac:dyDescent="0.25">
      <c r="A51" t="str">
        <f t="shared" si="10"/>
        <v>Residential PM10</v>
      </c>
      <c r="B51" t="str">
        <f t="shared" si="11"/>
        <v>RESP10S</v>
      </c>
      <c r="L51" t="str">
        <f>IF(ISNA(MATCH(AP$16,FuelTechs!$D$9:$D$58,0)),"",CombustionEmissions!L13)</f>
        <v/>
      </c>
      <c r="AG51">
        <f>IF(ISNA(MATCH(AG$16,FuelTechs!$D$9:$D$58,0)),"",CombustionEmissions!C13)</f>
        <v>4.5769644752755773E-2</v>
      </c>
      <c r="AH51" t="str">
        <f>IF(ISNA(MATCH(AH$16,FuelTechs!$D$9:$D$58,0)),"",CombustionEmissions!D13)</f>
        <v/>
      </c>
      <c r="AI51">
        <f>IF(ISNA(MATCH(AI$16,FuelTechs!$D$9:$D$58,0)),"",CombustionEmissions!E13)</f>
        <v>0</v>
      </c>
      <c r="AJ51" t="str">
        <f>IF(ISNA(MATCH(AJ$16,FuelTechs!$D$9:$D$58,0)),"",CombustionEmissions!F13)</f>
        <v/>
      </c>
      <c r="AK51" t="str">
        <f>IF(ISNA(MATCH(AK$16,FuelTechs!$D$9:$D$58,0)),"",CombustionEmissions!G13)</f>
        <v/>
      </c>
      <c r="AL51" t="str">
        <f>IF(ISNA(MATCH(AL$16,FuelTechs!$D$9:$D$58,0)),"",CombustionEmissions!H13)</f>
        <v/>
      </c>
      <c r="AM51" t="str">
        <f>IF(ISNA(MATCH(AM$16,FuelTechs!$D$9:$D$58,0)),"",CombustionEmissions!I13)</f>
        <v/>
      </c>
      <c r="AN51">
        <f>IF(ISNA(MATCH(AN$16,FuelTechs!$D$9:$D$58,0)),"",CombustionEmissions!J13)</f>
        <v>0</v>
      </c>
      <c r="AO51">
        <f>IF(ISNA(MATCH(AO$16,FuelTechs!$D$9:$D$58,0)),"",CombustionEmissions!K13)</f>
        <v>0</v>
      </c>
    </row>
    <row r="52" spans="1:62" x14ac:dyDescent="0.25">
      <c r="A52" t="s">
        <v>356</v>
      </c>
      <c r="B52" t="s">
        <v>2</v>
      </c>
    </row>
    <row r="53" spans="1:62" x14ac:dyDescent="0.25">
      <c r="A53" t="str">
        <f t="shared" ref="A53:A60" si="12">B$52&amp;" "&amp;A6</f>
        <v>Transport Carbon dioxide</v>
      </c>
      <c r="B53" t="str">
        <f t="shared" ref="B53:B60" si="13">AQ$15&amp;B6</f>
        <v>TRACO2S</v>
      </c>
      <c r="C53" t="str">
        <f>IF(ISNA(MATCH(AQ$16,FuelTechs!$D$9:$D$58,0)),"",CombustionEmissions!C6)</f>
        <v/>
      </c>
      <c r="D53" t="str">
        <f>IF(ISNA(MATCH(AR$16,FuelTechs!$D$9:$D$58,0)),"",CombustionEmissions!D6)</f>
        <v/>
      </c>
      <c r="K53" t="str">
        <f>IF(ISNA(MATCH(AY$16,FuelTechs!$D$9:$D$58,0)),"",CombustionEmissions!K6)</f>
        <v/>
      </c>
      <c r="L53" t="str">
        <f>IF(ISNA(MATCH(AZ$16,FuelTechs!$D$9:$D$58,0)),"",CombustionEmissions!L6)</f>
        <v/>
      </c>
      <c r="AQ53">
        <f>IF(ISNA(MATCH(AS$16,FuelTechs!$D$9:$D$58,0)),"",CombustionEmissions!E6)</f>
        <v>56.1</v>
      </c>
      <c r="AR53">
        <f>IF(ISNA(MATCH(AT$16,FuelTechs!$D$9:$D$58,0)),"",CombustionEmissions!F6)</f>
        <v>70</v>
      </c>
      <c r="AS53">
        <f>IF(ISNA(MATCH(AU$16,FuelTechs!$D$9:$D$58,0)),"",CombustionEmissions!G6)</f>
        <v>74.066699999999997</v>
      </c>
      <c r="AT53">
        <f>IF(ISNA(MATCH(AV$16,FuelTechs!$D$9:$D$58,0)),"",CombustionEmissions!H6)</f>
        <v>69.3</v>
      </c>
      <c r="AU53">
        <f>IF(ISNA(MATCH(AW$16,FuelTechs!$D$9:$D$58,0)),"",CombustionEmissions!I6)</f>
        <v>77.400000000000006</v>
      </c>
      <c r="AV53">
        <f>IF(ISNA(MATCH(AX$16,FuelTechs!$D$9:$D$58,0)),"",CombustionEmissions!J6)</f>
        <v>72.900000000000006</v>
      </c>
    </row>
    <row r="54" spans="1:62" x14ac:dyDescent="0.25">
      <c r="A54" t="str">
        <f t="shared" si="12"/>
        <v>Transport Methane</v>
      </c>
      <c r="B54" t="str">
        <f t="shared" si="13"/>
        <v>TRACH4S</v>
      </c>
      <c r="C54" t="str">
        <f>IF(ISNA(MATCH(AQ$16,FuelTechs!$D$9:$D$58,0)),"",CombustionEmissions!C7)</f>
        <v/>
      </c>
      <c r="D54" t="str">
        <f>IF(ISNA(MATCH(AR$16,FuelTechs!$D$9:$D$58,0)),"",CombustionEmissions!D7)</f>
        <v/>
      </c>
      <c r="K54" t="str">
        <f>IF(ISNA(MATCH(AY$16,FuelTechs!$D$9:$D$58,0)),"",CombustionEmissions!K7)</f>
        <v/>
      </c>
      <c r="L54" t="str">
        <f>IF(ISNA(MATCH(AZ$16,FuelTechs!$D$9:$D$58,0)),"",CombustionEmissions!L7)</f>
        <v/>
      </c>
      <c r="AQ54">
        <f>IF(ISNA(MATCH(AS$16,FuelTechs!$D$9:$D$58,0)),"",CombustionEmissions!E7)</f>
        <v>1E-3</v>
      </c>
      <c r="AR54">
        <f>IF(ISNA(MATCH(AT$16,FuelTechs!$D$9:$D$58,0)),"",CombustionEmissions!F7)</f>
        <v>3.0000000000000001E-3</v>
      </c>
      <c r="AS54">
        <f>IF(ISNA(MATCH(AU$16,FuelTechs!$D$9:$D$58,0)),"",CombustionEmissions!G7)</f>
        <v>3.0000000000000001E-3</v>
      </c>
      <c r="AT54">
        <f>IF(ISNA(MATCH(AV$16,FuelTechs!$D$9:$D$58,0)),"",CombustionEmissions!H7)</f>
        <v>3.0000000000000001E-3</v>
      </c>
      <c r="AU54">
        <f>IF(ISNA(MATCH(AW$16,FuelTechs!$D$9:$D$58,0)),"",CombustionEmissions!I7)</f>
        <v>3.0000000000000001E-3</v>
      </c>
      <c r="AV54">
        <f>IF(ISNA(MATCH(AX$16,FuelTechs!$D$9:$D$58,0)),"",CombustionEmissions!J7)</f>
        <v>3.0000000000000001E-3</v>
      </c>
    </row>
    <row r="55" spans="1:62" x14ac:dyDescent="0.25">
      <c r="A55" t="str">
        <f t="shared" si="12"/>
        <v>Transport Nitrous Oxide</v>
      </c>
      <c r="B55" t="str">
        <f t="shared" si="13"/>
        <v>TRAN2OS</v>
      </c>
      <c r="C55" t="str">
        <f>IF(ISNA(MATCH(AQ$16,FuelTechs!$D$9:$D$58,0)),"",CombustionEmissions!C8)</f>
        <v/>
      </c>
      <c r="D55" t="str">
        <f>IF(ISNA(MATCH(AR$16,FuelTechs!$D$9:$D$58,0)),"",CombustionEmissions!D8)</f>
        <v/>
      </c>
      <c r="K55" t="str">
        <f>IF(ISNA(MATCH(AY$16,FuelTechs!$D$9:$D$58,0)),"",CombustionEmissions!K8)</f>
        <v/>
      </c>
      <c r="L55" t="str">
        <f>IF(ISNA(MATCH(AZ$16,FuelTechs!$D$9:$D$58,0)),"",CombustionEmissions!L8)</f>
        <v/>
      </c>
      <c r="AQ55">
        <f>IF(ISNA(MATCH(AS$16,FuelTechs!$D$9:$D$58,0)),"",CombustionEmissions!E8)</f>
        <v>1E-4</v>
      </c>
      <c r="AR55">
        <f>IF(ISNA(MATCH(AT$16,FuelTechs!$D$9:$D$58,0)),"",CombustionEmissions!F8)</f>
        <v>5.9999999999999995E-4</v>
      </c>
      <c r="AS55">
        <f>IF(ISNA(MATCH(AU$16,FuelTechs!$D$9:$D$58,0)),"",CombustionEmissions!G8)</f>
        <v>5.9999999999999995E-4</v>
      </c>
      <c r="AT55">
        <f>IF(ISNA(MATCH(AV$16,FuelTechs!$D$9:$D$58,0)),"",CombustionEmissions!H8)</f>
        <v>5.9999999999999995E-4</v>
      </c>
      <c r="AU55">
        <f>IF(ISNA(MATCH(AW$16,FuelTechs!$D$9:$D$58,0)),"",CombustionEmissions!I8)</f>
        <v>5.9999999999999995E-4</v>
      </c>
      <c r="AV55">
        <f>IF(ISNA(MATCH(AX$16,FuelTechs!$D$9:$D$58,0)),"",CombustionEmissions!J8)</f>
        <v>5.9999999999999995E-4</v>
      </c>
    </row>
    <row r="56" spans="1:62" x14ac:dyDescent="0.25">
      <c r="A56" t="str">
        <f t="shared" si="12"/>
        <v>Transport Sulphur gases</v>
      </c>
      <c r="B56" t="str">
        <f t="shared" si="13"/>
        <v>TRASOXS</v>
      </c>
      <c r="C56" t="str">
        <f>IF(ISNA(MATCH(AQ$16,FuelTechs!$D$9:$D$58,0)),"",CombustionEmissions!C9)</f>
        <v/>
      </c>
      <c r="D56" t="str">
        <f>IF(ISNA(MATCH(AR$16,FuelTechs!$D$9:$D$58,0)),"",CombustionEmissions!D9)</f>
        <v/>
      </c>
      <c r="K56" t="str">
        <f>IF(ISNA(MATCH(AY$16,FuelTechs!$D$9:$D$58,0)),"",CombustionEmissions!K9)</f>
        <v/>
      </c>
      <c r="L56" t="str">
        <f>IF(ISNA(MATCH(AZ$16,FuelTechs!$D$9:$D$58,0)),"",CombustionEmissions!L9)</f>
        <v/>
      </c>
      <c r="AQ56">
        <f>IF(ISNA(MATCH(AS$16,FuelTechs!$D$9:$D$58,0)),"",CombustionEmissions!E9)</f>
        <v>0</v>
      </c>
      <c r="AR56">
        <f>IF(ISNA(MATCH(AT$16,FuelTechs!$D$9:$D$58,0)),"",CombustionEmissions!F9)</f>
        <v>4.6699999999999998E-2</v>
      </c>
      <c r="AS56">
        <f>IF(ISNA(MATCH(AU$16,FuelTechs!$D$9:$D$58,0)),"",CombustionEmissions!G9)</f>
        <v>0.25290000000000001</v>
      </c>
      <c r="AT56">
        <f>IF(ISNA(MATCH(AV$16,FuelTechs!$D$9:$D$58,0)),"",CombustionEmissions!H9)</f>
        <v>4.6699999999999998E-2</v>
      </c>
      <c r="AU56">
        <f>IF(ISNA(MATCH(AW$16,FuelTechs!$D$9:$D$58,0)),"",CombustionEmissions!I9)</f>
        <v>1.5290999999999999</v>
      </c>
      <c r="AV56">
        <f>IF(ISNA(MATCH(AX$16,FuelTechs!$D$9:$D$58,0)),"",CombustionEmissions!J9)</f>
        <v>4.5900000000000003E-2</v>
      </c>
    </row>
    <row r="57" spans="1:62" x14ac:dyDescent="0.25">
      <c r="A57" t="str">
        <f t="shared" si="12"/>
        <v>Transport Nitrogen gases</v>
      </c>
      <c r="B57" t="str">
        <f t="shared" si="13"/>
        <v>TRANOXS</v>
      </c>
      <c r="C57" t="str">
        <f>IF(ISNA(MATCH(AQ$16,FuelTechs!$D$9:$D$58,0)),"",CombustionEmissions!C10)</f>
        <v/>
      </c>
      <c r="D57" t="str">
        <f>IF(ISNA(MATCH(AR$16,FuelTechs!$D$9:$D$58,0)),"",CombustionEmissions!D10)</f>
        <v/>
      </c>
      <c r="K57" t="str">
        <f>IF(ISNA(MATCH(AY$16,FuelTechs!$D$9:$D$58,0)),"",CombustionEmissions!K10)</f>
        <v/>
      </c>
      <c r="L57" t="str">
        <f>IF(ISNA(MATCH(AZ$16,FuelTechs!$D$9:$D$58,0)),"",CombustionEmissions!L10)</f>
        <v/>
      </c>
      <c r="AQ57">
        <f>IF(ISNA(MATCH(AS$16,FuelTechs!$D$9:$D$58,0)),"",CombustionEmissions!E10)</f>
        <v>0.15</v>
      </c>
      <c r="AR57">
        <f>IF(ISNA(MATCH(AT$16,FuelTechs!$D$9:$D$58,0)),"",CombustionEmissions!F10)</f>
        <v>0.3</v>
      </c>
      <c r="AS57">
        <f>IF(ISNA(MATCH(AU$16,FuelTechs!$D$9:$D$58,0)),"",CombustionEmissions!G10)</f>
        <v>0.2</v>
      </c>
      <c r="AT57">
        <f>IF(ISNA(MATCH(AV$16,FuelTechs!$D$9:$D$58,0)),"",CombustionEmissions!H10)</f>
        <v>0.6</v>
      </c>
      <c r="AU57">
        <f>IF(ISNA(MATCH(AW$16,FuelTechs!$D$9:$D$58,0)),"",CombustionEmissions!I10)</f>
        <v>0.2</v>
      </c>
      <c r="AV57">
        <f>IF(ISNA(MATCH(AX$16,FuelTechs!$D$9:$D$58,0)),"",CombustionEmissions!J10)</f>
        <v>0.2</v>
      </c>
    </row>
    <row r="58" spans="1:62" x14ac:dyDescent="0.25">
      <c r="A58" t="str">
        <f t="shared" si="12"/>
        <v>Transport Carbon monoxide</v>
      </c>
      <c r="B58" t="str">
        <f t="shared" si="13"/>
        <v>TRACMOX</v>
      </c>
      <c r="C58" t="str">
        <f>IF(ISNA(MATCH(AQ$16,FuelTechs!$D$9:$D$58,0)),"",CombustionEmissions!C11)</f>
        <v/>
      </c>
      <c r="D58" t="str">
        <f>IF(ISNA(MATCH(AR$16,FuelTechs!$D$9:$D$58,0)),"",CombustionEmissions!D11)</f>
        <v/>
      </c>
      <c r="K58" t="str">
        <f>IF(ISNA(MATCH(AY$16,FuelTechs!$D$9:$D$58,0)),"",CombustionEmissions!K11)</f>
        <v/>
      </c>
      <c r="L58" t="str">
        <f>IF(ISNA(MATCH(AZ$16,FuelTechs!$D$9:$D$58,0)),"",CombustionEmissions!L11)</f>
        <v/>
      </c>
      <c r="AQ58">
        <f>IF(ISNA(MATCH(AS$16,FuelTechs!$D$9:$D$58,0)),"",CombustionEmissions!E11)</f>
        <v>0.02</v>
      </c>
      <c r="AR58">
        <f>IF(ISNA(MATCH(AT$16,FuelTechs!$D$9:$D$58,0)),"",CombustionEmissions!F11)</f>
        <v>0.1</v>
      </c>
      <c r="AS58">
        <f>IF(ISNA(MATCH(AU$16,FuelTechs!$D$9:$D$58,0)),"",CombustionEmissions!G11)</f>
        <v>1.4999999999999999E-2</v>
      </c>
      <c r="AT58">
        <f>IF(ISNA(MATCH(AV$16,FuelTechs!$D$9:$D$58,0)),"",CombustionEmissions!H11)</f>
        <v>8</v>
      </c>
      <c r="AU58">
        <f>IF(ISNA(MATCH(AW$16,FuelTechs!$D$9:$D$58,0)),"",CombustionEmissions!I11)</f>
        <v>0.01</v>
      </c>
      <c r="AV58">
        <f>IF(ISNA(MATCH(AX$16,FuelTechs!$D$9:$D$58,0)),"",CombustionEmissions!J11)</f>
        <v>0.01</v>
      </c>
    </row>
    <row r="59" spans="1:62" x14ac:dyDescent="0.25">
      <c r="A59" t="str">
        <f t="shared" si="12"/>
        <v>Transport NMVOCs</v>
      </c>
      <c r="B59" t="str">
        <f t="shared" si="13"/>
        <v>TRANMVS</v>
      </c>
      <c r="C59" t="str">
        <f>IF(ISNA(MATCH(AQ$16,FuelTechs!$D$9:$D$58,0)),"",CombustionEmissions!C12)</f>
        <v/>
      </c>
      <c r="D59" t="str">
        <f>IF(ISNA(MATCH(AR$16,FuelTechs!$D$9:$D$58,0)),"",CombustionEmissions!D12)</f>
        <v/>
      </c>
      <c r="K59" t="str">
        <f>IF(ISNA(MATCH(AY$16,FuelTechs!$D$9:$D$58,0)),"",CombustionEmissions!K12)</f>
        <v/>
      </c>
      <c r="L59" t="str">
        <f>IF(ISNA(MATCH(AZ$16,FuelTechs!$D$9:$D$58,0)),"",CombustionEmissions!L12)</f>
        <v/>
      </c>
      <c r="AQ59">
        <f>IF(ISNA(MATCH(AS$16,FuelTechs!$D$9:$D$58,0)),"",CombustionEmissions!E12)</f>
        <v>5.0000000000000001E-3</v>
      </c>
      <c r="AR59">
        <f>IF(ISNA(MATCH(AT$16,FuelTechs!$D$9:$D$58,0)),"",CombustionEmissions!F12)</f>
        <v>0.05</v>
      </c>
      <c r="AS59">
        <f>IF(ISNA(MATCH(AU$16,FuelTechs!$D$9:$D$58,0)),"",CombustionEmissions!G12)</f>
        <v>5.0000000000000001E-3</v>
      </c>
      <c r="AT59">
        <f>IF(ISNA(MATCH(AV$16,FuelTechs!$D$9:$D$58,0)),"",CombustionEmissions!H12)</f>
        <v>1.5</v>
      </c>
      <c r="AU59">
        <f>IF(ISNA(MATCH(AW$16,FuelTechs!$D$9:$D$58,0)),"",CombustionEmissions!I12)</f>
        <v>5.0000000000000001E-3</v>
      </c>
      <c r="AV59">
        <f>IF(ISNA(MATCH(AX$16,FuelTechs!$D$9:$D$58,0)),"",CombustionEmissions!J12)</f>
        <v>5.0000000000000001E-3</v>
      </c>
    </row>
    <row r="60" spans="1:62" x14ac:dyDescent="0.25">
      <c r="A60" t="str">
        <f t="shared" si="12"/>
        <v>Transport PM10</v>
      </c>
      <c r="B60" t="str">
        <f t="shared" si="13"/>
        <v>TRAP10S</v>
      </c>
      <c r="C60" t="str">
        <f>IF(ISNA(MATCH(AQ$16,FuelTechs!$D$9:$D$58,0)),"",CombustionEmissions!C13)</f>
        <v/>
      </c>
      <c r="D60" t="str">
        <f>IF(ISNA(MATCH(AR$16,FuelTechs!$D$9:$D$58,0)),"",CombustionEmissions!D13)</f>
        <v/>
      </c>
      <c r="K60" t="str">
        <f>IF(ISNA(MATCH(AY$16,FuelTechs!$D$9:$D$58,0)),"",CombustionEmissions!K13)</f>
        <v/>
      </c>
      <c r="L60" t="str">
        <f>IF(ISNA(MATCH(AZ$16,FuelTechs!$D$9:$D$58,0)),"",CombustionEmissions!L13)</f>
        <v/>
      </c>
      <c r="AQ60">
        <f>IF(ISNA(MATCH(AS$16,FuelTechs!$D$9:$D$58,0)),"",CombustionEmissions!E13)</f>
        <v>0</v>
      </c>
      <c r="AR60">
        <f>IF(ISNA(MATCH(AT$16,FuelTechs!$D$9:$D$58,0)),"",CombustionEmissions!F13)</f>
        <v>0</v>
      </c>
      <c r="AS60">
        <f>IF(ISNA(MATCH(AU$16,FuelTechs!$D$9:$D$58,0)),"",CombustionEmissions!G13)</f>
        <v>0</v>
      </c>
      <c r="AT60">
        <f>IF(ISNA(MATCH(AV$16,FuelTechs!$D$9:$D$58,0)),"",CombustionEmissions!H13)</f>
        <v>0</v>
      </c>
      <c r="AU60">
        <f>IF(ISNA(MATCH(AW$16,FuelTechs!$D$9:$D$58,0)),"",CombustionEmissions!I13)</f>
        <v>0</v>
      </c>
      <c r="AV60">
        <f>IF(ISNA(MATCH(AX$16,FuelTechs!$D$9:$D$58,0)),"",CombustionEmissions!J13)</f>
        <v>0</v>
      </c>
    </row>
    <row r="61" spans="1:62" x14ac:dyDescent="0.25">
      <c r="A61" t="s">
        <v>356</v>
      </c>
      <c r="B61" t="s">
        <v>229</v>
      </c>
    </row>
    <row r="62" spans="1:62" x14ac:dyDescent="0.25">
      <c r="A62" t="str">
        <f>B$61&amp;" "&amp;A6</f>
        <v>Power Carbon dioxide</v>
      </c>
      <c r="B62" t="str">
        <f>BA$15&amp;B6</f>
        <v>PWRCO2S</v>
      </c>
      <c r="BA62" t="str">
        <f>IF(ISNA(MATCH(BA$16,FuelTechs!$D$9:$D$58,0)),"",CombustionEmissions!C6)</f>
        <v/>
      </c>
      <c r="BB62" t="str">
        <f>IF(ISNA(MATCH(BB$16,FuelTechs!$D$9:$D$58,0)),"",CombustionEmissions!D6)</f>
        <v/>
      </c>
      <c r="BC62" t="str">
        <f>IF(ISNA(MATCH(BC$16,FuelTechs!$D$9:$D$58,0)),"",CombustionEmissions!E6)</f>
        <v/>
      </c>
      <c r="BD62" t="str">
        <f>IF(ISNA(MATCH(BD$16,FuelTechs!$D$9:$D$58,0)),"",CombustionEmissions!F6)</f>
        <v/>
      </c>
      <c r="BE62">
        <f>IF(ISNA(MATCH(BE$16,FuelTechs!$D$9:$D$58,0)),"",CombustionEmissions!G6)</f>
        <v>74.066699999999997</v>
      </c>
      <c r="BF62" t="str">
        <f>IF(ISNA(MATCH(BF$16,FuelTechs!$D$9:$D$58,0)),"",CombustionEmissions!H6)</f>
        <v/>
      </c>
      <c r="BG62">
        <f>IF(ISNA(MATCH(BG$16,FuelTechs!$D$9:$D$58,0)),"",CombustionEmissions!I6)</f>
        <v>77.400000000000006</v>
      </c>
      <c r="BH62">
        <f>IF(ISNA(MATCH(BH$16,FuelTechs!$D$9:$D$58,0)),"",CombustionEmissions!J6)</f>
        <v>72.900000000000006</v>
      </c>
      <c r="BI62" t="str">
        <f>IF(ISNA(MATCH(BI$16,FuelTechs!$D$9:$D$58,0)),"",CombustionEmissions!K6)</f>
        <v/>
      </c>
      <c r="BJ62" t="str">
        <f>IF(ISNA(MATCH(BJ$16,FuelTechs!$D$9:$D$58,0)),"",CombustionEmissions!L6)</f>
        <v/>
      </c>
    </row>
    <row r="63" spans="1:62" x14ac:dyDescent="0.25">
      <c r="A63" t="str">
        <f t="shared" ref="A63:A69" si="14">B$61&amp;" "&amp;A7</f>
        <v>Power Methane</v>
      </c>
      <c r="B63" t="str">
        <f t="shared" ref="B63:B69" si="15">BA$15&amp;B7</f>
        <v>PWRCH4S</v>
      </c>
      <c r="BA63" t="str">
        <f>IF(ISNA(MATCH(BA$16,FuelTechs!$D$9:$D$58,0)),"",CombustionEmissions!C7)</f>
        <v/>
      </c>
      <c r="BB63" t="str">
        <f>IF(ISNA(MATCH(BB$16,FuelTechs!$D$9:$D$58,0)),"",CombustionEmissions!D7)</f>
        <v/>
      </c>
      <c r="BC63" t="str">
        <f>IF(ISNA(MATCH(BC$16,FuelTechs!$D$9:$D$58,0)),"",CombustionEmissions!E7)</f>
        <v/>
      </c>
      <c r="BD63" t="str">
        <f>IF(ISNA(MATCH(BD$16,FuelTechs!$D$9:$D$58,0)),"",CombustionEmissions!F7)</f>
        <v/>
      </c>
      <c r="BE63">
        <f>IF(ISNA(MATCH(BE$16,FuelTechs!$D$9:$D$58,0)),"",CombustionEmissions!G7)</f>
        <v>3.0000000000000001E-3</v>
      </c>
      <c r="BF63" t="str">
        <f>IF(ISNA(MATCH(BF$16,FuelTechs!$D$9:$D$58,0)),"",CombustionEmissions!H7)</f>
        <v/>
      </c>
      <c r="BG63">
        <f>IF(ISNA(MATCH(BG$16,FuelTechs!$D$9:$D$58,0)),"",CombustionEmissions!I7)</f>
        <v>3.0000000000000001E-3</v>
      </c>
      <c r="BH63">
        <f>IF(ISNA(MATCH(BH$16,FuelTechs!$D$9:$D$58,0)),"",CombustionEmissions!J7)</f>
        <v>3.0000000000000001E-3</v>
      </c>
      <c r="BI63" t="str">
        <f>IF(ISNA(MATCH(BI$16,FuelTechs!$D$9:$D$58,0)),"",CombustionEmissions!K7)</f>
        <v/>
      </c>
      <c r="BJ63" t="str">
        <f>IF(ISNA(MATCH(BJ$16,FuelTechs!$D$9:$D$58,0)),"",CombustionEmissions!L7)</f>
        <v/>
      </c>
    </row>
    <row r="64" spans="1:62" x14ac:dyDescent="0.25">
      <c r="A64" t="str">
        <f t="shared" si="14"/>
        <v>Power Nitrous Oxide</v>
      </c>
      <c r="B64" t="str">
        <f t="shared" si="15"/>
        <v>PWRN2OS</v>
      </c>
      <c r="BA64" t="str">
        <f>IF(ISNA(MATCH(BA$16,FuelTechs!$D$9:$D$58,0)),"",CombustionEmissions!C8)</f>
        <v/>
      </c>
      <c r="BB64" t="str">
        <f>IF(ISNA(MATCH(BB$16,FuelTechs!$D$9:$D$58,0)),"",CombustionEmissions!D8)</f>
        <v/>
      </c>
      <c r="BC64" t="str">
        <f>IF(ISNA(MATCH(BC$16,FuelTechs!$D$9:$D$58,0)),"",CombustionEmissions!E8)</f>
        <v/>
      </c>
      <c r="BD64" t="str">
        <f>IF(ISNA(MATCH(BD$16,FuelTechs!$D$9:$D$58,0)),"",CombustionEmissions!F8)</f>
        <v/>
      </c>
      <c r="BE64">
        <f>IF(ISNA(MATCH(BE$16,FuelTechs!$D$9:$D$58,0)),"",CombustionEmissions!G8)</f>
        <v>5.9999999999999995E-4</v>
      </c>
      <c r="BF64" t="str">
        <f>IF(ISNA(MATCH(BF$16,FuelTechs!$D$9:$D$58,0)),"",CombustionEmissions!H8)</f>
        <v/>
      </c>
      <c r="BG64">
        <f>IF(ISNA(MATCH(BG$16,FuelTechs!$D$9:$D$58,0)),"",CombustionEmissions!I8)</f>
        <v>5.9999999999999995E-4</v>
      </c>
      <c r="BH64">
        <f>IF(ISNA(MATCH(BH$16,FuelTechs!$D$9:$D$58,0)),"",CombustionEmissions!J8)</f>
        <v>5.9999999999999995E-4</v>
      </c>
      <c r="BI64" t="str">
        <f>IF(ISNA(MATCH(BI$16,FuelTechs!$D$9:$D$58,0)),"",CombustionEmissions!K8)</f>
        <v/>
      </c>
      <c r="BJ64" t="str">
        <f>IF(ISNA(MATCH(BJ$16,FuelTechs!$D$9:$D$58,0)),"",CombustionEmissions!L8)</f>
        <v/>
      </c>
    </row>
    <row r="65" spans="1:62" x14ac:dyDescent="0.25">
      <c r="A65" t="str">
        <f t="shared" si="14"/>
        <v>Power Sulphur gases</v>
      </c>
      <c r="B65" t="str">
        <f t="shared" si="15"/>
        <v>PWRSOXS</v>
      </c>
      <c r="BA65" t="str">
        <f>IF(ISNA(MATCH(BA$16,FuelTechs!$D$9:$D$58,0)),"",CombustionEmissions!C9)</f>
        <v/>
      </c>
      <c r="BB65" t="str">
        <f>IF(ISNA(MATCH(BB$16,FuelTechs!$D$9:$D$58,0)),"",CombustionEmissions!D9)</f>
        <v/>
      </c>
      <c r="BC65" t="str">
        <f>IF(ISNA(MATCH(BC$16,FuelTechs!$D$9:$D$58,0)),"",CombustionEmissions!E9)</f>
        <v/>
      </c>
      <c r="BD65" t="str">
        <f>IF(ISNA(MATCH(BD$16,FuelTechs!$D$9:$D$58,0)),"",CombustionEmissions!F9)</f>
        <v/>
      </c>
      <c r="BE65">
        <f>IF(ISNA(MATCH(BE$16,FuelTechs!$D$9:$D$58,0)),"",CombustionEmissions!G9)</f>
        <v>0.25290000000000001</v>
      </c>
      <c r="BF65" t="str">
        <f>IF(ISNA(MATCH(BF$16,FuelTechs!$D$9:$D$58,0)),"",CombustionEmissions!H9)</f>
        <v/>
      </c>
      <c r="BG65">
        <f>IF(ISNA(MATCH(BG$16,FuelTechs!$D$9:$D$58,0)),"",CombustionEmissions!I9)</f>
        <v>1.5290999999999999</v>
      </c>
      <c r="BH65">
        <f>IF(ISNA(MATCH(BH$16,FuelTechs!$D$9:$D$58,0)),"",CombustionEmissions!J9)</f>
        <v>4.5900000000000003E-2</v>
      </c>
      <c r="BI65" t="str">
        <f>IF(ISNA(MATCH(BI$16,FuelTechs!$D$9:$D$58,0)),"",CombustionEmissions!K9)</f>
        <v/>
      </c>
      <c r="BJ65" t="str">
        <f>IF(ISNA(MATCH(BJ$16,FuelTechs!$D$9:$D$58,0)),"",CombustionEmissions!L9)</f>
        <v/>
      </c>
    </row>
    <row r="66" spans="1:62" x14ac:dyDescent="0.25">
      <c r="A66" t="str">
        <f t="shared" si="14"/>
        <v>Power Nitrogen gases</v>
      </c>
      <c r="B66" t="str">
        <f t="shared" si="15"/>
        <v>PWRNOXS</v>
      </c>
      <c r="BA66" t="str">
        <f>IF(ISNA(MATCH(BA$16,FuelTechs!$D$9:$D$58,0)),"",CombustionEmissions!C10)</f>
        <v/>
      </c>
      <c r="BB66" t="str">
        <f>IF(ISNA(MATCH(BB$16,FuelTechs!$D$9:$D$58,0)),"",CombustionEmissions!D10)</f>
        <v/>
      </c>
      <c r="BC66" t="str">
        <f>IF(ISNA(MATCH(BC$16,FuelTechs!$D$9:$D$58,0)),"",CombustionEmissions!E10)</f>
        <v/>
      </c>
      <c r="BD66" t="str">
        <f>IF(ISNA(MATCH(BD$16,FuelTechs!$D$9:$D$58,0)),"",CombustionEmissions!F10)</f>
        <v/>
      </c>
      <c r="BE66">
        <f>IF(ISNA(MATCH(BE$16,FuelTechs!$D$9:$D$58,0)),"",CombustionEmissions!G10)</f>
        <v>0.2</v>
      </c>
      <c r="BF66" t="str">
        <f>IF(ISNA(MATCH(BF$16,FuelTechs!$D$9:$D$58,0)),"",CombustionEmissions!H10)</f>
        <v/>
      </c>
      <c r="BG66">
        <f>IF(ISNA(MATCH(BG$16,FuelTechs!$D$9:$D$58,0)),"",CombustionEmissions!I10)</f>
        <v>0.2</v>
      </c>
      <c r="BH66">
        <f>IF(ISNA(MATCH(BH$16,FuelTechs!$D$9:$D$58,0)),"",CombustionEmissions!J10)</f>
        <v>0.2</v>
      </c>
      <c r="BI66" t="str">
        <f>IF(ISNA(MATCH(BI$16,FuelTechs!$D$9:$D$58,0)),"",CombustionEmissions!K10)</f>
        <v/>
      </c>
      <c r="BJ66" t="str">
        <f>IF(ISNA(MATCH(BJ$16,FuelTechs!$D$9:$D$58,0)),"",CombustionEmissions!L10)</f>
        <v/>
      </c>
    </row>
    <row r="67" spans="1:62" x14ac:dyDescent="0.25">
      <c r="A67" t="str">
        <f t="shared" si="14"/>
        <v>Power Carbon monoxide</v>
      </c>
      <c r="B67" t="str">
        <f t="shared" si="15"/>
        <v>PWRCMOX</v>
      </c>
      <c r="BA67" t="str">
        <f>IF(ISNA(MATCH(BA$16,FuelTechs!$D$9:$D$58,0)),"",CombustionEmissions!C11)</f>
        <v/>
      </c>
      <c r="BB67" t="str">
        <f>IF(ISNA(MATCH(BB$16,FuelTechs!$D$9:$D$58,0)),"",CombustionEmissions!D11)</f>
        <v/>
      </c>
      <c r="BC67" t="str">
        <f>IF(ISNA(MATCH(BC$16,FuelTechs!$D$9:$D$58,0)),"",CombustionEmissions!E11)</f>
        <v/>
      </c>
      <c r="BD67" t="str">
        <f>IF(ISNA(MATCH(BD$16,FuelTechs!$D$9:$D$58,0)),"",CombustionEmissions!F11)</f>
        <v/>
      </c>
      <c r="BE67">
        <f>IF(ISNA(MATCH(BE$16,FuelTechs!$D$9:$D$58,0)),"",CombustionEmissions!G11)</f>
        <v>1.4999999999999999E-2</v>
      </c>
      <c r="BF67" t="str">
        <f>IF(ISNA(MATCH(BF$16,FuelTechs!$D$9:$D$58,0)),"",CombustionEmissions!H11)</f>
        <v/>
      </c>
      <c r="BG67">
        <f>IF(ISNA(MATCH(BG$16,FuelTechs!$D$9:$D$58,0)),"",CombustionEmissions!I11)</f>
        <v>0.01</v>
      </c>
      <c r="BH67">
        <f>IF(ISNA(MATCH(BH$16,FuelTechs!$D$9:$D$58,0)),"",CombustionEmissions!J11)</f>
        <v>0.01</v>
      </c>
      <c r="BI67" t="str">
        <f>IF(ISNA(MATCH(BI$16,FuelTechs!$D$9:$D$58,0)),"",CombustionEmissions!K11)</f>
        <v/>
      </c>
      <c r="BJ67" t="str">
        <f>IF(ISNA(MATCH(BJ$16,FuelTechs!$D$9:$D$58,0)),"",CombustionEmissions!L11)</f>
        <v/>
      </c>
    </row>
    <row r="68" spans="1:62" x14ac:dyDescent="0.25">
      <c r="A68" t="str">
        <f t="shared" si="14"/>
        <v>Power NMVOCs</v>
      </c>
      <c r="B68" t="str">
        <f t="shared" si="15"/>
        <v>PWRNMVS</v>
      </c>
      <c r="BA68" t="str">
        <f>IF(ISNA(MATCH(BA$16,FuelTechs!$D$9:$D$58,0)),"",CombustionEmissions!C12)</f>
        <v/>
      </c>
      <c r="BB68" t="str">
        <f>IF(ISNA(MATCH(BB$16,FuelTechs!$D$9:$D$58,0)),"",CombustionEmissions!D12)</f>
        <v/>
      </c>
      <c r="BC68" t="str">
        <f>IF(ISNA(MATCH(BC$16,FuelTechs!$D$9:$D$58,0)),"",CombustionEmissions!E12)</f>
        <v/>
      </c>
      <c r="BD68" t="str">
        <f>IF(ISNA(MATCH(BD$16,FuelTechs!$D$9:$D$58,0)),"",CombustionEmissions!F12)</f>
        <v/>
      </c>
      <c r="BE68">
        <f>IF(ISNA(MATCH(BE$16,FuelTechs!$D$9:$D$58,0)),"",CombustionEmissions!G12)</f>
        <v>5.0000000000000001E-3</v>
      </c>
      <c r="BF68" t="str">
        <f>IF(ISNA(MATCH(BF$16,FuelTechs!$D$9:$D$58,0)),"",CombustionEmissions!H12)</f>
        <v/>
      </c>
      <c r="BG68">
        <f>IF(ISNA(MATCH(BG$16,FuelTechs!$D$9:$D$58,0)),"",CombustionEmissions!I12)</f>
        <v>5.0000000000000001E-3</v>
      </c>
      <c r="BH68">
        <f>IF(ISNA(MATCH(BH$16,FuelTechs!$D$9:$D$58,0)),"",CombustionEmissions!J12)</f>
        <v>5.0000000000000001E-3</v>
      </c>
      <c r="BI68" t="str">
        <f>IF(ISNA(MATCH(BI$16,FuelTechs!$D$9:$D$58,0)),"",CombustionEmissions!K12)</f>
        <v/>
      </c>
      <c r="BJ68" t="str">
        <f>IF(ISNA(MATCH(BJ$16,FuelTechs!$D$9:$D$58,0)),"",CombustionEmissions!L12)</f>
        <v/>
      </c>
    </row>
    <row r="69" spans="1:62" x14ac:dyDescent="0.25">
      <c r="A69" t="str">
        <f t="shared" si="14"/>
        <v>Power PM10</v>
      </c>
      <c r="B69" t="str">
        <f t="shared" si="15"/>
        <v>PWRP10S</v>
      </c>
      <c r="BA69" t="str">
        <f>IF(ISNA(MATCH(BA$16,FuelTechs!$D$9:$D$58,0)),"",CombustionEmissions!C13)</f>
        <v/>
      </c>
      <c r="BB69" t="str">
        <f>IF(ISNA(MATCH(BB$16,FuelTechs!$D$9:$D$58,0)),"",CombustionEmissions!D13)</f>
        <v/>
      </c>
      <c r="BC69" t="str">
        <f>IF(ISNA(MATCH(BC$16,FuelTechs!$D$9:$D$58,0)),"",CombustionEmissions!E13)</f>
        <v/>
      </c>
      <c r="BD69" t="str">
        <f>IF(ISNA(MATCH(BD$16,FuelTechs!$D$9:$D$58,0)),"",CombustionEmissions!F13)</f>
        <v/>
      </c>
      <c r="BE69">
        <f>IF(ISNA(MATCH(BE$16,FuelTechs!$D$9:$D$58,0)),"",CombustionEmissions!G13)</f>
        <v>0</v>
      </c>
      <c r="BF69" t="str">
        <f>IF(ISNA(MATCH(BF$16,FuelTechs!$D$9:$D$58,0)),"",CombustionEmissions!H13)</f>
        <v/>
      </c>
      <c r="BG69">
        <f>IF(ISNA(MATCH(BG$16,FuelTechs!$D$9:$D$58,0)),"",CombustionEmissions!I13)</f>
        <v>0</v>
      </c>
      <c r="BH69">
        <f>IF(ISNA(MATCH(BH$16,FuelTechs!$D$9:$D$58,0)),"",CombustionEmissions!J13)</f>
        <v>0</v>
      </c>
      <c r="BI69" t="str">
        <f>IF(ISNA(MATCH(BI$16,FuelTechs!$D$9:$D$58,0)),"",CombustionEmissions!K13)</f>
        <v/>
      </c>
      <c r="BJ69" t="str">
        <f>IF(ISNA(MATCH(BJ$16,FuelTechs!$D$9:$D$58,0)),"",CombustionEmissions!L13)</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1048</v>
      </c>
      <c r="C2" s="169"/>
      <c r="D2" s="169"/>
      <c r="E2" s="169"/>
    </row>
    <row r="3" spans="1:31" ht="15.75" thickTop="1" x14ac:dyDescent="0.25"/>
    <row r="6" spans="1:31" ht="15" customHeight="1" x14ac:dyDescent="0.25">
      <c r="A6" t="s">
        <v>371</v>
      </c>
      <c r="U6" s="175" t="s">
        <v>372</v>
      </c>
      <c r="V6" s="176">
        <v>15.3</v>
      </c>
      <c r="W6" s="177" t="s">
        <v>373</v>
      </c>
      <c r="AC6" s="435" t="s">
        <v>374</v>
      </c>
      <c r="AD6" s="435"/>
      <c r="AE6" s="435"/>
    </row>
    <row r="7" spans="1:31" ht="15.75" customHeight="1" x14ac:dyDescent="0.25">
      <c r="A7" s="436" t="s">
        <v>375</v>
      </c>
      <c r="B7" s="438" t="s">
        <v>376</v>
      </c>
      <c r="C7" s="440" t="s">
        <v>377</v>
      </c>
      <c r="D7" s="441"/>
      <c r="E7" s="442"/>
      <c r="F7" s="445" t="s">
        <v>378</v>
      </c>
      <c r="G7" s="178"/>
      <c r="H7" s="178"/>
      <c r="I7" s="178"/>
      <c r="J7" s="178"/>
      <c r="U7" s="175" t="s">
        <v>379</v>
      </c>
      <c r="V7" s="176">
        <v>18.235131074122162</v>
      </c>
      <c r="W7" s="177" t="s">
        <v>380</v>
      </c>
      <c r="AC7" s="179" t="s">
        <v>381</v>
      </c>
      <c r="AD7" s="180">
        <f>AD8*AD9/10^3</f>
        <v>5.4839199999999998E-2</v>
      </c>
      <c r="AE7" s="181" t="s">
        <v>241</v>
      </c>
    </row>
    <row r="8" spans="1:31" x14ac:dyDescent="0.25">
      <c r="A8" s="437"/>
      <c r="B8" s="439"/>
      <c r="C8" s="443"/>
      <c r="D8" s="444"/>
      <c r="E8" s="444"/>
      <c r="F8" s="446"/>
      <c r="G8" s="178"/>
      <c r="H8" s="178"/>
      <c r="I8" s="178"/>
      <c r="J8" s="178"/>
      <c r="V8" t="s">
        <v>382</v>
      </c>
      <c r="W8" t="s">
        <v>382</v>
      </c>
      <c r="X8" t="s">
        <v>382</v>
      </c>
      <c r="Y8" t="s">
        <v>383</v>
      </c>
      <c r="Z8" t="s">
        <v>383</v>
      </c>
      <c r="AA8" t="s">
        <v>383</v>
      </c>
      <c r="AC8" s="182" t="s">
        <v>384</v>
      </c>
      <c r="AD8" s="180">
        <v>52</v>
      </c>
      <c r="AE8" s="181" t="s">
        <v>385</v>
      </c>
    </row>
    <row r="9" spans="1:31" x14ac:dyDescent="0.25">
      <c r="A9" s="183"/>
      <c r="B9" s="184"/>
      <c r="C9" s="185" t="s">
        <v>386</v>
      </c>
      <c r="D9" s="186" t="s">
        <v>387</v>
      </c>
      <c r="E9" s="186" t="s">
        <v>388</v>
      </c>
      <c r="F9" s="187"/>
      <c r="G9" t="s">
        <v>389</v>
      </c>
      <c r="H9" s="188" t="s">
        <v>390</v>
      </c>
      <c r="I9" s="178"/>
      <c r="J9" s="178"/>
      <c r="O9" t="s">
        <v>391</v>
      </c>
      <c r="R9" s="189" t="s">
        <v>392</v>
      </c>
      <c r="S9" t="s">
        <v>393</v>
      </c>
      <c r="T9" t="s">
        <v>394</v>
      </c>
      <c r="U9" t="s">
        <v>395</v>
      </c>
      <c r="V9" s="190">
        <v>7.0000000000000001E-3</v>
      </c>
      <c r="W9" s="190">
        <v>0.02</v>
      </c>
      <c r="X9" s="191">
        <v>0.05</v>
      </c>
      <c r="Y9" s="192">
        <v>0.02</v>
      </c>
      <c r="Z9" s="192">
        <v>0.04</v>
      </c>
      <c r="AA9" s="192">
        <v>0.05</v>
      </c>
      <c r="AC9" s="182" t="s">
        <v>396</v>
      </c>
      <c r="AD9" s="180">
        <v>1.0546</v>
      </c>
      <c r="AE9" s="181" t="s">
        <v>241</v>
      </c>
    </row>
    <row r="10" spans="1:31" x14ac:dyDescent="0.25">
      <c r="A10" s="193" t="s">
        <v>397</v>
      </c>
      <c r="B10" s="10" t="s">
        <v>398</v>
      </c>
      <c r="C10" s="194">
        <v>7</v>
      </c>
      <c r="D10" s="195">
        <v>9</v>
      </c>
      <c r="E10" s="195">
        <f>(C10+D10)/2</f>
        <v>8</v>
      </c>
      <c r="F10" s="196"/>
      <c r="G10" t="s">
        <v>399</v>
      </c>
      <c r="H10" s="188" t="s">
        <v>390</v>
      </c>
      <c r="I10" s="57"/>
      <c r="J10" s="57"/>
      <c r="O10" s="5" t="s">
        <v>400</v>
      </c>
      <c r="Q10" s="10" t="s">
        <v>312</v>
      </c>
      <c r="R10" s="15" t="s">
        <v>401</v>
      </c>
      <c r="S10" s="197">
        <v>1</v>
      </c>
      <c r="T10" s="198">
        <v>0</v>
      </c>
      <c r="U10" s="199">
        <v>0</v>
      </c>
      <c r="V10" s="200">
        <f>$V$7*V$9*$S$10+0.001*$V$7</f>
        <v>0.14588104859297729</v>
      </c>
      <c r="W10" s="200">
        <f>$V$7*W$9*$S$10+0.001*$V$7</f>
        <v>0.38293775255656542</v>
      </c>
      <c r="X10" s="200">
        <f>$V$7*X$9*$S$10+0.001*$V$7</f>
        <v>0.9299916847802302</v>
      </c>
      <c r="Y10" s="201">
        <f>(1-$S$10)*$V$6*Y$9</f>
        <v>0</v>
      </c>
      <c r="Z10" s="201">
        <f>(1-$S$10)*$V$6*Z$9</f>
        <v>0</v>
      </c>
      <c r="AA10" s="201">
        <f>(1-$S$10)*$V$6*AA$9</f>
        <v>0</v>
      </c>
      <c r="AC10" s="182" t="s">
        <v>384</v>
      </c>
      <c r="AD10" s="180">
        <v>5.7272999999999996</v>
      </c>
      <c r="AE10" s="181" t="s">
        <v>402</v>
      </c>
    </row>
    <row r="11" spans="1:31" x14ac:dyDescent="0.25">
      <c r="A11" s="73" t="s">
        <v>403</v>
      </c>
      <c r="B11" s="10" t="s">
        <v>398</v>
      </c>
      <c r="C11" s="61">
        <v>4.8</v>
      </c>
      <c r="D11" s="57">
        <v>13.9</v>
      </c>
      <c r="E11" s="57">
        <f>(C11+D11)/2</f>
        <v>9.35</v>
      </c>
      <c r="F11" s="202">
        <v>65.3</v>
      </c>
      <c r="G11" t="s">
        <v>404</v>
      </c>
      <c r="H11" s="188" t="s">
        <v>390</v>
      </c>
      <c r="I11" s="57"/>
      <c r="J11" s="57"/>
      <c r="O11" s="203">
        <f>Index!C5</f>
        <v>0</v>
      </c>
      <c r="Q11" s="16" t="s">
        <v>312</v>
      </c>
      <c r="R11" s="11" t="s">
        <v>405</v>
      </c>
      <c r="S11" s="204">
        <v>0.5</v>
      </c>
      <c r="T11" s="205">
        <v>0.5</v>
      </c>
      <c r="U11" s="206">
        <v>0</v>
      </c>
      <c r="V11" s="200">
        <f>$V$7*V$9*$S$11+0.001*$V$7</f>
        <v>8.205808983354973E-2</v>
      </c>
      <c r="W11" s="200">
        <f>$V$7*W$9*$S$11+0.001*$V$7</f>
        <v>0.2005864418153438</v>
      </c>
      <c r="X11" s="200">
        <f>$V$7*X$9*$S$11+0.001*$V$7</f>
        <v>0.47411340792717621</v>
      </c>
      <c r="Y11" s="201">
        <f>($T$11)*$V$6*Y$9</f>
        <v>0.153</v>
      </c>
      <c r="Z11" s="201">
        <f>($T$11)*$V$6*Z$9</f>
        <v>0.30599999999999999</v>
      </c>
      <c r="AA11" s="201">
        <f>($T$11)*$V$6*AA$9</f>
        <v>0.38250000000000006</v>
      </c>
      <c r="AC11" s="182" t="s">
        <v>406</v>
      </c>
      <c r="AD11" s="180">
        <v>11</v>
      </c>
      <c r="AE11" s="181" t="s">
        <v>241</v>
      </c>
    </row>
    <row r="12" spans="1:31" x14ac:dyDescent="0.25">
      <c r="A12" s="73" t="s">
        <v>407</v>
      </c>
      <c r="B12" s="10" t="s">
        <v>398</v>
      </c>
      <c r="C12" s="61">
        <v>9.4</v>
      </c>
      <c r="D12" s="57">
        <v>9.4</v>
      </c>
      <c r="E12" s="57">
        <f>(C12+D12)/2</f>
        <v>9.4</v>
      </c>
      <c r="F12" s="202"/>
      <c r="G12" t="s">
        <v>408</v>
      </c>
      <c r="H12" s="188" t="s">
        <v>390</v>
      </c>
      <c r="I12" s="57"/>
      <c r="J12" s="57"/>
      <c r="N12" t="s">
        <v>409</v>
      </c>
      <c r="O12" s="1">
        <f>IF($O$11=1,(1-V19),IF($O$11=2,(1-W19),1))</f>
        <v>1</v>
      </c>
      <c r="Q12" s="16" t="s">
        <v>312</v>
      </c>
      <c r="R12" s="11" t="s">
        <v>410</v>
      </c>
      <c r="S12" s="207">
        <v>0</v>
      </c>
      <c r="T12" s="208">
        <v>0.1</v>
      </c>
      <c r="U12" s="209">
        <v>0.9</v>
      </c>
      <c r="V12" s="200">
        <f>$V$7*V$9*$S$12+0.001*$V$7</f>
        <v>1.8235131074122161E-2</v>
      </c>
      <c r="W12" s="200">
        <f>$V$7*W$9*$S$12+0.001*$V$7</f>
        <v>1.8235131074122161E-2</v>
      </c>
      <c r="X12" s="200">
        <f>$V$7*X$9*$S$12+0.001*$V$7</f>
        <v>1.8235131074122161E-2</v>
      </c>
      <c r="Y12" s="201">
        <f>($T$12)*$V$6*Y$9</f>
        <v>3.0600000000000006E-2</v>
      </c>
      <c r="Z12" s="201">
        <f>($T$12)*$V$6*Z$9</f>
        <v>6.1200000000000011E-2</v>
      </c>
      <c r="AA12" s="201">
        <f>($T$12)*$V$6*AA$9</f>
        <v>7.6500000000000012E-2</v>
      </c>
      <c r="AC12" s="182" t="s">
        <v>411</v>
      </c>
      <c r="AD12" s="180">
        <v>37</v>
      </c>
      <c r="AE12" s="181" t="s">
        <v>412</v>
      </c>
    </row>
    <row r="13" spans="1:31" x14ac:dyDescent="0.25">
      <c r="A13" s="73" t="s">
        <v>413</v>
      </c>
      <c r="B13" s="10" t="s">
        <v>398</v>
      </c>
      <c r="C13" s="61">
        <v>13</v>
      </c>
      <c r="D13" s="57">
        <v>15</v>
      </c>
      <c r="E13" s="57">
        <f>(C13+D13)/2</f>
        <v>14</v>
      </c>
      <c r="F13" s="202">
        <v>71.7</v>
      </c>
      <c r="G13" t="s">
        <v>414</v>
      </c>
      <c r="H13" s="188" t="s">
        <v>390</v>
      </c>
      <c r="I13" s="57"/>
      <c r="J13" s="57"/>
      <c r="N13" t="s">
        <v>415</v>
      </c>
      <c r="O13" s="1">
        <f>IF($O$11=1,(0.96-V19),IF($O$11=2,(0.96-W19),0.96))</f>
        <v>0.96</v>
      </c>
      <c r="Q13" s="210" t="s">
        <v>312</v>
      </c>
      <c r="R13" s="14" t="s">
        <v>416</v>
      </c>
      <c r="S13" s="204">
        <v>0</v>
      </c>
      <c r="T13" s="205">
        <v>0</v>
      </c>
      <c r="U13" s="206">
        <v>1</v>
      </c>
      <c r="V13" s="200">
        <f>$V$7*V$9*$S$13+0.001*$V$7</f>
        <v>1.8235131074122161E-2</v>
      </c>
      <c r="W13" s="200">
        <f>$V$7*W$9*$S$13+0.001*$V$7</f>
        <v>1.8235131074122161E-2</v>
      </c>
      <c r="X13" s="200">
        <f>$V$7*X$9*$S$13+0.001*$V$7</f>
        <v>1.8235131074122161E-2</v>
      </c>
      <c r="Y13" s="201">
        <f>($T$13)*$V$6*Y$9</f>
        <v>0</v>
      </c>
      <c r="Z13" s="201">
        <f>($T$13)*$V$6*Z$9</f>
        <v>0</v>
      </c>
      <c r="AA13" s="201">
        <f>($T$13)*$V$6*AA$9</f>
        <v>0</v>
      </c>
      <c r="AC13" s="182" t="s">
        <v>417</v>
      </c>
      <c r="AD13" s="211">
        <f>AD10/AD8/AD9</f>
        <v>0.10443806620081986</v>
      </c>
      <c r="AE13" s="181" t="s">
        <v>418</v>
      </c>
    </row>
    <row r="14" spans="1:31" ht="15" customHeight="1" x14ac:dyDescent="0.25">
      <c r="A14" s="73" t="s">
        <v>419</v>
      </c>
      <c r="B14" s="10" t="s">
        <v>398</v>
      </c>
      <c r="C14" s="61">
        <v>41.7</v>
      </c>
      <c r="D14" s="57">
        <v>41.7</v>
      </c>
      <c r="E14" s="57">
        <f>(C14+D14)/2</f>
        <v>41.7</v>
      </c>
      <c r="F14" s="202">
        <v>99.6</v>
      </c>
      <c r="G14" t="s">
        <v>420</v>
      </c>
      <c r="H14" s="188" t="s">
        <v>390</v>
      </c>
      <c r="I14" s="57"/>
      <c r="J14" s="57"/>
      <c r="V14" s="190">
        <v>2E-3</v>
      </c>
      <c r="W14" s="190">
        <v>7.0000000000000001E-3</v>
      </c>
      <c r="X14" s="191">
        <v>0.02</v>
      </c>
      <c r="Y14" s="192">
        <v>5.0000000000000001E-3</v>
      </c>
      <c r="Z14" s="192">
        <v>0.01</v>
      </c>
      <c r="AA14" s="192">
        <v>0.02</v>
      </c>
      <c r="AC14" s="182" t="s">
        <v>421</v>
      </c>
      <c r="AD14" s="180">
        <v>21</v>
      </c>
      <c r="AE14" s="181" t="s">
        <v>422</v>
      </c>
    </row>
    <row r="15" spans="1:31" x14ac:dyDescent="0.25">
      <c r="A15" s="73" t="s">
        <v>423</v>
      </c>
      <c r="B15" s="10" t="s">
        <v>398</v>
      </c>
      <c r="C15" s="61"/>
      <c r="D15" s="57"/>
      <c r="F15" s="202">
        <v>72</v>
      </c>
      <c r="G15" t="s">
        <v>424</v>
      </c>
      <c r="H15" s="188" t="s">
        <v>390</v>
      </c>
      <c r="I15" s="57"/>
      <c r="J15" s="57"/>
      <c r="Q15" s="10" t="s">
        <v>425</v>
      </c>
      <c r="R15" s="10" t="s">
        <v>401</v>
      </c>
      <c r="S15" s="207">
        <v>1</v>
      </c>
      <c r="T15" s="208">
        <v>0</v>
      </c>
      <c r="U15" s="209">
        <v>0</v>
      </c>
      <c r="V15" s="200">
        <f>$V$7*V$14*$S$15+0.001*$V$7</f>
        <v>5.4705393222366484E-2</v>
      </c>
      <c r="W15" s="200">
        <f>$V$7*W$14*$S$15+0.001*$V$7</f>
        <v>0.14588104859297729</v>
      </c>
      <c r="X15" s="200">
        <f>$V$7*X$14*$S$15+0.001*$V$7</f>
        <v>0.38293775255656542</v>
      </c>
      <c r="Y15">
        <v>0</v>
      </c>
      <c r="Z15">
        <v>0</v>
      </c>
      <c r="AA15">
        <v>0</v>
      </c>
      <c r="AC15" s="182" t="s">
        <v>426</v>
      </c>
      <c r="AD15" s="180"/>
      <c r="AE15" s="181" t="s">
        <v>427</v>
      </c>
    </row>
    <row r="16" spans="1:31" x14ac:dyDescent="0.25">
      <c r="A16" s="73" t="s">
        <v>428</v>
      </c>
      <c r="B16" s="10" t="s">
        <v>398</v>
      </c>
      <c r="C16" s="61"/>
      <c r="D16" s="57"/>
      <c r="F16" s="202">
        <v>66</v>
      </c>
      <c r="G16" t="s">
        <v>429</v>
      </c>
      <c r="H16" s="188" t="s">
        <v>390</v>
      </c>
      <c r="I16" s="57"/>
      <c r="J16" s="57"/>
      <c r="Q16" s="16"/>
      <c r="R16" s="16" t="s">
        <v>405</v>
      </c>
      <c r="S16" s="207">
        <v>0.5</v>
      </c>
      <c r="T16" s="208">
        <v>0.5</v>
      </c>
      <c r="U16" s="209">
        <v>0</v>
      </c>
      <c r="V16" s="200">
        <f>$V$7*V$14*$S$16+0.001*$V$7</f>
        <v>3.6470262148244323E-2</v>
      </c>
      <c r="W16" s="200">
        <f>$V$7*W$14*$S$16+0.001*$V$7</f>
        <v>8.205808983354973E-2</v>
      </c>
      <c r="X16" s="200">
        <f>$V$7*X$14*$S$16+0.001*$V$7</f>
        <v>0.2005864418153438</v>
      </c>
      <c r="Y16" s="201">
        <f>($T$16)*$V$6*Y$14</f>
        <v>3.8249999999999999E-2</v>
      </c>
      <c r="Z16" s="201">
        <f>($T$16)*$V$6*Z$14</f>
        <v>7.6499999999999999E-2</v>
      </c>
      <c r="AA16" s="201">
        <f>($T$16)*$V$6*AA$14</f>
        <v>0.153</v>
      </c>
      <c r="AC16" s="182" t="s">
        <v>430</v>
      </c>
      <c r="AD16" s="180">
        <v>20</v>
      </c>
      <c r="AE16" s="181" t="s">
        <v>431</v>
      </c>
    </row>
    <row r="17" spans="1:31" x14ac:dyDescent="0.25">
      <c r="A17" s="212" t="s">
        <v>432</v>
      </c>
      <c r="B17" s="8" t="s">
        <v>398</v>
      </c>
      <c r="C17" s="213"/>
      <c r="D17" s="214"/>
      <c r="E17" s="13"/>
      <c r="F17" s="215">
        <v>61</v>
      </c>
      <c r="G17" t="s">
        <v>433</v>
      </c>
      <c r="H17" s="188" t="s">
        <v>390</v>
      </c>
      <c r="I17" s="57"/>
      <c r="J17" s="57"/>
      <c r="Q17" s="16"/>
      <c r="R17" s="16" t="s">
        <v>410</v>
      </c>
      <c r="S17" s="207">
        <v>0</v>
      </c>
      <c r="T17" s="208">
        <v>0.1</v>
      </c>
      <c r="U17" s="209">
        <v>0.9</v>
      </c>
      <c r="V17" s="200">
        <f>$V$7*V$14*$S$17+0.001*$V$7</f>
        <v>1.8235131074122161E-2</v>
      </c>
      <c r="W17" s="200">
        <f>$V$7*W$14*$S$17+0.001*$V$7</f>
        <v>1.8235131074122161E-2</v>
      </c>
      <c r="X17" s="200">
        <f>$V$7*X$14*$S$17+0.001*$V$7</f>
        <v>1.8235131074122161E-2</v>
      </c>
      <c r="Y17" s="201">
        <f>($T$17)*$V$6*Y$14</f>
        <v>7.6500000000000014E-3</v>
      </c>
      <c r="Z17" s="201">
        <f>($T$17)*$V$6*Z$14</f>
        <v>1.5300000000000003E-2</v>
      </c>
      <c r="AA17" s="201">
        <f>($T$17)*$V$6*AA$14</f>
        <v>3.0600000000000006E-2</v>
      </c>
      <c r="AC17" s="182" t="s">
        <v>434</v>
      </c>
      <c r="AD17" s="180">
        <f>AD16*1055*10^-3</f>
        <v>21.1</v>
      </c>
      <c r="AE17" s="181" t="s">
        <v>241</v>
      </c>
    </row>
    <row r="18" spans="1:31" x14ac:dyDescent="0.25">
      <c r="C18" s="57"/>
      <c r="D18" s="57"/>
      <c r="F18" s="57"/>
      <c r="H18" s="188"/>
      <c r="I18" s="57"/>
      <c r="J18" s="57"/>
      <c r="Q18" s="210"/>
      <c r="R18" s="210" t="s">
        <v>416</v>
      </c>
      <c r="S18" s="216">
        <v>0</v>
      </c>
      <c r="T18" s="217">
        <v>0</v>
      </c>
      <c r="U18" s="218">
        <v>1</v>
      </c>
      <c r="V18" s="200">
        <f>$V$7*V$14*$S$18+0.001*$V$7</f>
        <v>1.8235131074122161E-2</v>
      </c>
      <c r="W18" s="200">
        <f>$V$7*W$14*$S$18+0.001*$V$7</f>
        <v>1.8235131074122161E-2</v>
      </c>
      <c r="X18" s="200">
        <f>$V$7*X$14*$S$18+0.001*$V$7</f>
        <v>1.8235131074122161E-2</v>
      </c>
      <c r="Y18">
        <v>0</v>
      </c>
      <c r="Z18">
        <v>0</v>
      </c>
      <c r="AA18">
        <v>0</v>
      </c>
      <c r="AC18" s="182" t="s">
        <v>435</v>
      </c>
      <c r="AD18" s="180">
        <f>1/(AD8*AD17)</f>
        <v>9.1141086401749902E-4</v>
      </c>
      <c r="AE18" s="181" t="s">
        <v>436</v>
      </c>
    </row>
    <row r="19" spans="1:31" x14ac:dyDescent="0.25">
      <c r="C19" s="57"/>
      <c r="D19" s="57"/>
      <c r="F19" s="57"/>
      <c r="H19" s="188"/>
      <c r="I19" s="57"/>
      <c r="J19" s="57"/>
      <c r="V19" s="190">
        <v>1E-3</v>
      </c>
      <c r="W19" s="190">
        <v>3.0000000000000001E-3</v>
      </c>
      <c r="X19" s="190">
        <v>5.0000000000000001E-3</v>
      </c>
      <c r="AC19" s="182" t="s">
        <v>411</v>
      </c>
      <c r="AD19" s="180">
        <v>0.66200000000000003</v>
      </c>
      <c r="AE19" s="181" t="s">
        <v>437</v>
      </c>
    </row>
    <row r="20" spans="1:31" x14ac:dyDescent="0.25">
      <c r="C20" s="57"/>
      <c r="D20" s="57"/>
      <c r="F20" s="57"/>
      <c r="H20" s="188"/>
      <c r="I20" s="57"/>
      <c r="J20" s="57"/>
      <c r="Q20" t="s">
        <v>438</v>
      </c>
      <c r="V20">
        <f>R47</f>
        <v>6.9986433062480854E-2</v>
      </c>
      <c r="W20">
        <f>R48</f>
        <v>9.9454404878262279E-2</v>
      </c>
      <c r="X20">
        <f>W20</f>
        <v>9.9454404878262279E-2</v>
      </c>
      <c r="AC20" s="182" t="s">
        <v>439</v>
      </c>
      <c r="AD20" s="180">
        <v>31.536000000000001</v>
      </c>
      <c r="AE20" s="181" t="s">
        <v>440</v>
      </c>
    </row>
    <row r="21" spans="1:31" x14ac:dyDescent="0.25">
      <c r="C21" s="57"/>
      <c r="D21" s="57"/>
      <c r="F21" s="57"/>
      <c r="H21" s="188"/>
      <c r="I21" s="57"/>
      <c r="J21" s="57"/>
      <c r="Q21" t="s">
        <v>409</v>
      </c>
      <c r="V21">
        <f>V20</f>
        <v>6.9986433062480854E-2</v>
      </c>
      <c r="W21">
        <f>W20</f>
        <v>9.9454404878262279E-2</v>
      </c>
      <c r="X21">
        <f>W21</f>
        <v>9.9454404878262279E-2</v>
      </c>
      <c r="AC21" s="182" t="s">
        <v>441</v>
      </c>
      <c r="AD21" s="180">
        <f>AD11/'[9]MSW Source'!E62</f>
        <v>66.094195755779722</v>
      </c>
      <c r="AE21" s="181" t="s">
        <v>442</v>
      </c>
    </row>
    <row r="22" spans="1:31" x14ac:dyDescent="0.25">
      <c r="C22" s="57"/>
      <c r="D22" s="57"/>
      <c r="F22" s="57"/>
      <c r="H22" s="188"/>
      <c r="I22" s="57"/>
      <c r="J22" s="57"/>
      <c r="AC22" s="182" t="s">
        <v>443</v>
      </c>
      <c r="AD22" s="180">
        <v>5.8</v>
      </c>
      <c r="AE22" s="181" t="s">
        <v>241</v>
      </c>
    </row>
    <row r="23" spans="1:31" x14ac:dyDescent="0.25">
      <c r="C23" s="57"/>
      <c r="D23" s="57"/>
      <c r="F23" s="57"/>
      <c r="H23" s="188"/>
      <c r="I23" s="57"/>
      <c r="J23" s="57"/>
      <c r="AC23" s="182"/>
      <c r="AD23" s="180"/>
      <c r="AE23" s="181"/>
    </row>
    <row r="24" spans="1:31" x14ac:dyDescent="0.25">
      <c r="C24" s="57"/>
      <c r="D24" s="57"/>
      <c r="F24" s="57"/>
      <c r="H24" s="188"/>
      <c r="I24" s="57"/>
      <c r="J24" s="57"/>
    </row>
    <row r="25" spans="1:31" x14ac:dyDescent="0.25">
      <c r="C25" s="57"/>
      <c r="D25" s="57"/>
      <c r="F25" s="57"/>
      <c r="H25" s="188"/>
      <c r="I25" s="57"/>
      <c r="J25" s="57"/>
      <c r="V25" s="219"/>
      <c r="AC25" s="434" t="s">
        <v>444</v>
      </c>
      <c r="AD25" s="434"/>
      <c r="AE25" s="434"/>
    </row>
    <row r="26" spans="1:31" x14ac:dyDescent="0.25">
      <c r="C26" s="57"/>
      <c r="D26" s="57"/>
      <c r="F26" s="57"/>
      <c r="H26" s="188"/>
      <c r="I26" s="57"/>
      <c r="J26" s="57"/>
      <c r="AC26" s="175" t="s">
        <v>379</v>
      </c>
      <c r="AD26" s="176">
        <f>1/AD7</f>
        <v>18.235131074122162</v>
      </c>
      <c r="AE26" s="220" t="s">
        <v>380</v>
      </c>
    </row>
    <row r="27" spans="1:31" x14ac:dyDescent="0.25">
      <c r="C27" s="57"/>
      <c r="D27" s="57"/>
      <c r="F27" s="57"/>
      <c r="H27" s="188"/>
      <c r="I27" s="57"/>
      <c r="J27" s="57"/>
      <c r="AC27" s="175" t="s">
        <v>372</v>
      </c>
      <c r="AD27" s="220">
        <f>15.3*0.001*1000</f>
        <v>15.3</v>
      </c>
      <c r="AE27" s="220" t="s">
        <v>373</v>
      </c>
    </row>
    <row r="28" spans="1:31" x14ac:dyDescent="0.25">
      <c r="C28" s="57"/>
      <c r="D28" s="57"/>
      <c r="F28" s="57"/>
      <c r="H28" s="188"/>
      <c r="I28" s="57"/>
      <c r="J28" s="57"/>
      <c r="AC28" s="175" t="s">
        <v>445</v>
      </c>
      <c r="AD28" s="221">
        <f>20*0.001</f>
        <v>0.02</v>
      </c>
      <c r="AE28" s="220" t="s">
        <v>446</v>
      </c>
    </row>
    <row r="29" spans="1:31" x14ac:dyDescent="0.25">
      <c r="C29" s="57"/>
      <c r="D29" s="57"/>
      <c r="F29" s="57"/>
      <c r="H29" s="188"/>
      <c r="I29" s="57"/>
      <c r="J29" s="57"/>
      <c r="AC29" s="175" t="s">
        <v>447</v>
      </c>
      <c r="AD29" s="220">
        <f>12/16</f>
        <v>0.75</v>
      </c>
      <c r="AE29" s="220" t="s">
        <v>373</v>
      </c>
    </row>
    <row r="30" spans="1:31" x14ac:dyDescent="0.25">
      <c r="C30" s="57"/>
      <c r="D30" s="57"/>
    </row>
    <row r="31" spans="1:31" ht="18.75" customHeight="1" thickBot="1" x14ac:dyDescent="0.3">
      <c r="H31" s="430"/>
      <c r="I31" s="430"/>
      <c r="R31" t="s">
        <v>382</v>
      </c>
      <c r="S31" t="s">
        <v>382</v>
      </c>
      <c r="T31" t="s">
        <v>382</v>
      </c>
      <c r="U31" t="s">
        <v>383</v>
      </c>
      <c r="V31" t="s">
        <v>383</v>
      </c>
      <c r="W31" t="s">
        <v>383</v>
      </c>
    </row>
    <row r="32" spans="1:31" ht="17.25" customHeight="1" x14ac:dyDescent="0.25">
      <c r="L32" s="422" t="s">
        <v>448</v>
      </c>
      <c r="M32" s="431" t="s">
        <v>449</v>
      </c>
      <c r="N32" s="222" t="s">
        <v>450</v>
      </c>
      <c r="O32" s="223" t="s">
        <v>451</v>
      </c>
      <c r="P32" s="224" t="s">
        <v>450</v>
      </c>
      <c r="Q32" s="225" t="s">
        <v>451</v>
      </c>
      <c r="R32" s="422" t="s">
        <v>401</v>
      </c>
      <c r="S32" s="422" t="s">
        <v>405</v>
      </c>
      <c r="T32" s="422" t="s">
        <v>452</v>
      </c>
      <c r="U32" s="422" t="s">
        <v>401</v>
      </c>
      <c r="V32" s="422" t="s">
        <v>405</v>
      </c>
      <c r="W32" s="422" t="s">
        <v>452</v>
      </c>
    </row>
    <row r="33" spans="1:24" x14ac:dyDescent="0.25">
      <c r="A33" t="s">
        <v>453</v>
      </c>
      <c r="C33" t="s">
        <v>454</v>
      </c>
      <c r="D33" t="s">
        <v>454</v>
      </c>
      <c r="E33" t="s">
        <v>454</v>
      </c>
      <c r="F33" s="142" t="s">
        <v>455</v>
      </c>
      <c r="G33" s="142" t="s">
        <v>456</v>
      </c>
      <c r="H33" s="429" t="s">
        <v>457</v>
      </c>
      <c r="I33" s="429"/>
      <c r="J33" s="142" t="s">
        <v>455</v>
      </c>
      <c r="K33" t="s">
        <v>456</v>
      </c>
      <c r="L33" s="423"/>
      <c r="M33" s="432"/>
      <c r="N33" s="16"/>
      <c r="O33" s="73"/>
      <c r="P33" s="73"/>
      <c r="Q33" s="226"/>
      <c r="R33" s="423"/>
      <c r="S33" s="423"/>
      <c r="T33" s="423"/>
      <c r="U33" s="423"/>
      <c r="V33" s="423"/>
      <c r="W33" s="423"/>
    </row>
    <row r="34" spans="1:24" ht="15.75" thickBot="1" x14ac:dyDescent="0.3">
      <c r="A34" t="s">
        <v>458</v>
      </c>
      <c r="F34" s="142" t="s">
        <v>459</v>
      </c>
      <c r="G34" s="142" t="s">
        <v>460</v>
      </c>
      <c r="H34" s="142"/>
      <c r="I34" s="142"/>
      <c r="J34" s="142" t="s">
        <v>459</v>
      </c>
      <c r="K34" t="s">
        <v>459</v>
      </c>
      <c r="L34" s="424"/>
      <c r="M34" s="433"/>
      <c r="N34" s="227" t="s">
        <v>461</v>
      </c>
      <c r="O34" s="228" t="s">
        <v>461</v>
      </c>
      <c r="P34" s="95" t="s">
        <v>461</v>
      </c>
      <c r="Q34" s="229" t="s">
        <v>461</v>
      </c>
      <c r="R34" s="424"/>
      <c r="S34" s="424"/>
      <c r="T34" s="424"/>
      <c r="U34" s="424"/>
      <c r="V34" s="424"/>
      <c r="W34" s="424"/>
    </row>
    <row r="35" spans="1:24" ht="15.75" thickBot="1" x14ac:dyDescent="0.3">
      <c r="A35" s="230" t="s">
        <v>462</v>
      </c>
      <c r="B35" s="231" t="s">
        <v>341</v>
      </c>
      <c r="C35" s="232" t="s">
        <v>386</v>
      </c>
      <c r="D35" s="233" t="s">
        <v>387</v>
      </c>
      <c r="E35" s="8" t="s">
        <v>388</v>
      </c>
      <c r="F35" s="234">
        <v>0.9</v>
      </c>
      <c r="G35" s="234">
        <v>0.1</v>
      </c>
      <c r="H35" s="142"/>
      <c r="I35" s="142"/>
      <c r="J35" s="142"/>
      <c r="L35" s="235"/>
      <c r="M35" s="178"/>
      <c r="R35" s="236"/>
      <c r="S35" s="237"/>
      <c r="T35" s="238"/>
      <c r="U35" s="235"/>
      <c r="V35" s="235"/>
      <c r="W35" s="235"/>
    </row>
    <row r="36" spans="1:24" x14ac:dyDescent="0.25">
      <c r="A36" s="193" t="s">
        <v>463</v>
      </c>
      <c r="B36" s="107" t="s">
        <v>397</v>
      </c>
      <c r="C36" s="107">
        <v>0.9</v>
      </c>
      <c r="D36" s="15">
        <v>2.9</v>
      </c>
      <c r="E36" s="8">
        <f>AVERAGE(C36:D36)</f>
        <v>1.9</v>
      </c>
      <c r="F36">
        <f>D36*$F$35/25</f>
        <v>0.10439999999999999</v>
      </c>
      <c r="G36">
        <f>D36*$G$35</f>
        <v>0.28999999999999998</v>
      </c>
      <c r="H36" s="239">
        <f>F36*25+G36</f>
        <v>2.9</v>
      </c>
      <c r="I36" s="239"/>
      <c r="L36" s="425" t="str">
        <f>A36</f>
        <v>Well completion</v>
      </c>
      <c r="M36" s="224" t="str">
        <f>B36</f>
        <v>Stephenson et al. (2011)</v>
      </c>
      <c r="N36" s="224">
        <f>C36/25</f>
        <v>3.6000000000000004E-2</v>
      </c>
      <c r="O36" s="224">
        <f>(D36*90%)/25</f>
        <v>0.10439999999999999</v>
      </c>
      <c r="P36" s="240">
        <f>N36/18</f>
        <v>2E-3</v>
      </c>
      <c r="Q36" s="240">
        <f>O36/18</f>
        <v>5.7999999999999996E-3</v>
      </c>
      <c r="R36" s="224">
        <f t="shared" ref="R36:R41" si="0">$V$7*Q36*$S$10+1%*$V$7*Q36</f>
        <v>0.10682139783220762</v>
      </c>
      <c r="S36" s="241">
        <f t="shared" ref="S36:S41" si="1">Q36*$V$7*$S$11+1%*$V$7*Q36</f>
        <v>5.3939517717253353E-2</v>
      </c>
      <c r="T36" s="224">
        <f>Q36*$V$7*1%</f>
        <v>1.0576376022990853E-3</v>
      </c>
      <c r="U36" s="224">
        <f>Q36*$V$6*$T$10</f>
        <v>0</v>
      </c>
      <c r="V36" s="224">
        <f>$V$6*Q36*$T$11</f>
        <v>4.437E-2</v>
      </c>
      <c r="W36" s="225">
        <f>$T$13*Q36*$V$6</f>
        <v>0</v>
      </c>
      <c r="X36" t="s">
        <v>464</v>
      </c>
    </row>
    <row r="37" spans="1:24" ht="15" customHeight="1" x14ac:dyDescent="0.25">
      <c r="A37" s="73"/>
      <c r="B37" t="s">
        <v>465</v>
      </c>
      <c r="C37">
        <v>0.1</v>
      </c>
      <c r="D37" s="11">
        <v>9.1999999999999993</v>
      </c>
      <c r="E37" s="8">
        <f t="shared" ref="E37:E49" si="2">AVERAGE(C37:D37)</f>
        <v>4.6499999999999995</v>
      </c>
      <c r="F37">
        <f t="shared" ref="F37:F49" si="3">D37*90%/25</f>
        <v>0.33119999999999999</v>
      </c>
      <c r="G37">
        <f t="shared" ref="G37:G49" si="4">D37*10%</f>
        <v>0.91999999999999993</v>
      </c>
      <c r="H37" s="239">
        <f>F37*25+G37</f>
        <v>9.1999999999999993</v>
      </c>
      <c r="I37" s="239"/>
      <c r="L37" s="426"/>
      <c r="M37" t="str">
        <f t="shared" ref="M37:M45" si="5">B37</f>
        <v>Jiang et al. (2011)</v>
      </c>
      <c r="N37">
        <f t="shared" ref="N37:N45" si="6">C37/25</f>
        <v>4.0000000000000001E-3</v>
      </c>
      <c r="O37">
        <f t="shared" ref="O37:O48" si="7">(D37*90%)/25</f>
        <v>0.33119999999999999</v>
      </c>
      <c r="P37" s="242">
        <f t="shared" ref="P37:Q48" si="8">N37/18</f>
        <v>2.2222222222222223E-4</v>
      </c>
      <c r="Q37" s="242">
        <f>O37/18</f>
        <v>1.84E-2</v>
      </c>
      <c r="R37">
        <f t="shared" si="0"/>
        <v>0.33888167588148627</v>
      </c>
      <c r="S37" s="243">
        <f t="shared" si="1"/>
        <v>0.17111846999956237</v>
      </c>
      <c r="T37">
        <f t="shared" ref="T37:T45" si="9">Q37*$V$7*1%</f>
        <v>3.3552641176384781E-3</v>
      </c>
      <c r="U37">
        <f>Q37*$V$6*$T$10</f>
        <v>0</v>
      </c>
      <c r="V37">
        <f t="shared" ref="V37:V48" si="10">$AD$27*Q37*9%</f>
        <v>2.53368E-2</v>
      </c>
      <c r="W37" s="244">
        <f t="shared" ref="W37:W48" si="11">$T$13*Q37*$V$6</f>
        <v>0</v>
      </c>
    </row>
    <row r="38" spans="1:24" x14ac:dyDescent="0.25">
      <c r="A38" s="73"/>
      <c r="B38" t="s">
        <v>407</v>
      </c>
      <c r="D38" s="11">
        <v>7.8</v>
      </c>
      <c r="E38" s="8">
        <f t="shared" si="2"/>
        <v>7.8</v>
      </c>
      <c r="F38">
        <f>D38*90%/25</f>
        <v>0.28079999999999999</v>
      </c>
      <c r="G38">
        <f t="shared" si="4"/>
        <v>0.78</v>
      </c>
      <c r="H38" s="239">
        <f t="shared" ref="H38:H49" si="12">F38*25+G38</f>
        <v>7.8</v>
      </c>
      <c r="I38" s="239"/>
      <c r="L38" s="426"/>
      <c r="M38" t="str">
        <f t="shared" si="5"/>
        <v>Skone et al. (2011)</v>
      </c>
      <c r="N38">
        <f t="shared" si="6"/>
        <v>0</v>
      </c>
      <c r="O38">
        <f t="shared" si="7"/>
        <v>0.28079999999999999</v>
      </c>
      <c r="P38" s="242">
        <f t="shared" si="8"/>
        <v>0</v>
      </c>
      <c r="Q38" s="242">
        <f>O38/18</f>
        <v>1.5599999999999999E-2</v>
      </c>
      <c r="R38">
        <f t="shared" si="0"/>
        <v>0.28731272520386875</v>
      </c>
      <c r="S38" s="243">
        <f t="shared" si="1"/>
        <v>0.14507870282571592</v>
      </c>
      <c r="T38">
        <f t="shared" si="9"/>
        <v>2.8446804475630574E-3</v>
      </c>
      <c r="U38">
        <f t="shared" ref="U38:U48" si="13">Q38*$V$6*$T$10</f>
        <v>0</v>
      </c>
      <c r="V38">
        <f t="shared" si="10"/>
        <v>2.1481199999999999E-2</v>
      </c>
      <c r="W38" s="244">
        <f t="shared" si="11"/>
        <v>0</v>
      </c>
    </row>
    <row r="39" spans="1:24" x14ac:dyDescent="0.25">
      <c r="A39" s="245" t="s">
        <v>466</v>
      </c>
      <c r="B39" s="239" t="s">
        <v>419</v>
      </c>
      <c r="C39" s="239"/>
      <c r="D39" s="246">
        <v>23.4</v>
      </c>
      <c r="E39" s="247">
        <f t="shared" si="2"/>
        <v>23.4</v>
      </c>
      <c r="F39">
        <f t="shared" si="3"/>
        <v>0.84239999999999993</v>
      </c>
      <c r="G39">
        <f t="shared" si="4"/>
        <v>2.34</v>
      </c>
      <c r="H39" s="239">
        <f t="shared" si="12"/>
        <v>23.4</v>
      </c>
      <c r="I39" s="239"/>
      <c r="K39" s="239"/>
      <c r="L39" s="426"/>
      <c r="M39" t="str">
        <f t="shared" si="5"/>
        <v>Howarth et al. (2011)</v>
      </c>
      <c r="N39">
        <f t="shared" si="6"/>
        <v>0</v>
      </c>
      <c r="O39">
        <f t="shared" si="7"/>
        <v>0.84239999999999993</v>
      </c>
      <c r="P39" s="242">
        <f t="shared" si="8"/>
        <v>0</v>
      </c>
      <c r="Q39" s="242">
        <f>O39/18</f>
        <v>4.6799999999999994E-2</v>
      </c>
      <c r="R39">
        <f t="shared" si="0"/>
        <v>0.86193817561160624</v>
      </c>
      <c r="S39" s="243">
        <f t="shared" si="1"/>
        <v>0.43523610847714767</v>
      </c>
      <c r="T39">
        <f t="shared" si="9"/>
        <v>8.5340413426891713E-3</v>
      </c>
      <c r="U39">
        <f t="shared" si="13"/>
        <v>0</v>
      </c>
      <c r="V39">
        <f t="shared" si="10"/>
        <v>6.444359999999999E-2</v>
      </c>
      <c r="W39" s="244">
        <f t="shared" si="11"/>
        <v>0</v>
      </c>
    </row>
    <row r="40" spans="1:24" x14ac:dyDescent="0.25">
      <c r="A40" s="73"/>
      <c r="B40" t="s">
        <v>467</v>
      </c>
      <c r="D40" s="11">
        <v>17.899999999999999</v>
      </c>
      <c r="E40" s="8">
        <f t="shared" si="2"/>
        <v>17.899999999999999</v>
      </c>
      <c r="F40">
        <f t="shared" si="3"/>
        <v>0.64439999999999997</v>
      </c>
      <c r="G40">
        <f t="shared" si="4"/>
        <v>1.79</v>
      </c>
      <c r="H40" s="239">
        <f t="shared" si="12"/>
        <v>17.899999999999999</v>
      </c>
      <c r="I40" s="239"/>
      <c r="L40" s="426"/>
      <c r="M40" t="str">
        <f t="shared" si="5"/>
        <v>Lechtenbohmer et al. (2005)</v>
      </c>
      <c r="N40">
        <f t="shared" si="6"/>
        <v>0</v>
      </c>
      <c r="O40">
        <f t="shared" si="7"/>
        <v>0.64439999999999997</v>
      </c>
      <c r="P40" s="242">
        <f t="shared" si="8"/>
        <v>0</v>
      </c>
      <c r="Q40" s="242">
        <f>O40/18</f>
        <v>3.5799999999999998E-2</v>
      </c>
      <c r="R40">
        <f t="shared" si="0"/>
        <v>0.65934586937810913</v>
      </c>
      <c r="S40" s="243">
        <f t="shared" si="1"/>
        <v>0.3329370231513224</v>
      </c>
      <c r="T40">
        <f t="shared" si="9"/>
        <v>6.5281769245357337E-3</v>
      </c>
      <c r="U40">
        <f t="shared" si="13"/>
        <v>0</v>
      </c>
      <c r="V40">
        <f t="shared" si="10"/>
        <v>4.9296599999999996E-2</v>
      </c>
      <c r="W40" s="244">
        <f t="shared" si="11"/>
        <v>0</v>
      </c>
    </row>
    <row r="41" spans="1:24" ht="15.75" thickBot="1" x14ac:dyDescent="0.3">
      <c r="A41" s="212"/>
      <c r="B41" s="13" t="s">
        <v>468</v>
      </c>
      <c r="C41" s="13">
        <v>3</v>
      </c>
      <c r="D41" s="14">
        <v>16.899999999999999</v>
      </c>
      <c r="E41" s="8">
        <f t="shared" si="2"/>
        <v>9.9499999999999993</v>
      </c>
      <c r="F41">
        <f>D41*90%/25</f>
        <v>0.60839999999999994</v>
      </c>
      <c r="G41">
        <f t="shared" si="4"/>
        <v>1.69</v>
      </c>
      <c r="H41" s="239">
        <f t="shared" si="12"/>
        <v>16.899999999999999</v>
      </c>
      <c r="I41" s="239"/>
      <c r="L41" s="427"/>
      <c r="M41" s="95" t="str">
        <f t="shared" si="5"/>
        <v>Broderick et al. (2011)</v>
      </c>
      <c r="N41" s="95">
        <f t="shared" si="6"/>
        <v>0.12</v>
      </c>
      <c r="O41" s="95">
        <f t="shared" si="7"/>
        <v>0.60839999999999994</v>
      </c>
      <c r="P41" s="248">
        <f t="shared" si="8"/>
        <v>6.6666666666666662E-3</v>
      </c>
      <c r="Q41" s="248">
        <f>O41/18</f>
        <v>3.3799999999999997E-2</v>
      </c>
      <c r="R41" s="95">
        <f t="shared" si="0"/>
        <v>0.62251090460838232</v>
      </c>
      <c r="S41" s="249">
        <f t="shared" si="1"/>
        <v>0.31433718945571781</v>
      </c>
      <c r="T41" s="95">
        <f t="shared" si="9"/>
        <v>6.1634743030532903E-3</v>
      </c>
      <c r="U41" s="95">
        <f t="shared" si="13"/>
        <v>0</v>
      </c>
      <c r="V41" s="95">
        <f t="shared" si="10"/>
        <v>4.654259999999999E-2</v>
      </c>
      <c r="W41" s="229">
        <f t="shared" si="11"/>
        <v>0</v>
      </c>
    </row>
    <row r="42" spans="1:24" x14ac:dyDescent="0.25">
      <c r="A42" s="193" t="s">
        <v>469</v>
      </c>
      <c r="B42" s="107" t="s">
        <v>397</v>
      </c>
      <c r="C42" s="107"/>
      <c r="D42" s="15">
        <v>4.2</v>
      </c>
      <c r="E42" s="8">
        <f t="shared" si="2"/>
        <v>4.2</v>
      </c>
      <c r="F42">
        <f t="shared" si="3"/>
        <v>0.1512</v>
      </c>
      <c r="G42">
        <f t="shared" si="4"/>
        <v>0.42000000000000004</v>
      </c>
      <c r="H42" s="239">
        <f t="shared" si="12"/>
        <v>4.2</v>
      </c>
      <c r="I42" s="239"/>
      <c r="L42" s="425" t="s">
        <v>425</v>
      </c>
      <c r="M42" s="224" t="str">
        <f t="shared" si="5"/>
        <v>Stephenson et al. (2011)</v>
      </c>
      <c r="N42" s="224">
        <f t="shared" si="6"/>
        <v>0</v>
      </c>
      <c r="O42" s="224">
        <f t="shared" si="7"/>
        <v>0.1512</v>
      </c>
      <c r="P42" s="240">
        <f t="shared" si="8"/>
        <v>0</v>
      </c>
      <c r="Q42" s="240">
        <f t="shared" si="8"/>
        <v>8.3999999999999995E-3</v>
      </c>
      <c r="R42" s="224">
        <f t="shared" ref="R42:R48" si="14">$V$7*Q42+1%*$V$7*Q42</f>
        <v>0.15470685203285242</v>
      </c>
      <c r="S42" s="241">
        <f>Q42*$V$7+1%*$V$7*Q42</f>
        <v>0.15470685203285242</v>
      </c>
      <c r="T42" s="224">
        <f>Q42*$V$7*1%</f>
        <v>1.5317510102262617E-3</v>
      </c>
      <c r="U42" s="224">
        <f t="shared" si="13"/>
        <v>0</v>
      </c>
      <c r="V42" s="224">
        <f t="shared" si="10"/>
        <v>1.1566799999999999E-2</v>
      </c>
      <c r="W42" s="225">
        <f t="shared" si="11"/>
        <v>0</v>
      </c>
    </row>
    <row r="43" spans="1:24" x14ac:dyDescent="0.25">
      <c r="A43" s="73"/>
      <c r="B43" t="s">
        <v>407</v>
      </c>
      <c r="D43" s="11">
        <v>3.5</v>
      </c>
      <c r="E43" s="8">
        <f t="shared" si="2"/>
        <v>3.5</v>
      </c>
      <c r="F43">
        <f t="shared" si="3"/>
        <v>0.126</v>
      </c>
      <c r="G43">
        <f t="shared" si="4"/>
        <v>0.35000000000000003</v>
      </c>
      <c r="H43" s="239">
        <f t="shared" si="12"/>
        <v>3.5</v>
      </c>
      <c r="I43" s="239"/>
      <c r="L43" s="426"/>
      <c r="M43" t="str">
        <f t="shared" si="5"/>
        <v>Skone et al. (2011)</v>
      </c>
      <c r="N43">
        <f t="shared" si="6"/>
        <v>0</v>
      </c>
      <c r="O43">
        <f t="shared" si="7"/>
        <v>0.126</v>
      </c>
      <c r="P43" s="242">
        <f t="shared" si="8"/>
        <v>0</v>
      </c>
      <c r="Q43" s="242">
        <f t="shared" si="8"/>
        <v>7.0000000000000001E-3</v>
      </c>
      <c r="R43">
        <f t="shared" si="14"/>
        <v>0.12892237669404366</v>
      </c>
      <c r="S43" s="243">
        <f>Q43*$V$7+1%*$V$7*Q43</f>
        <v>0.12892237669404366</v>
      </c>
      <c r="T43">
        <f t="shared" si="9"/>
        <v>1.2764591751885514E-3</v>
      </c>
      <c r="U43">
        <f t="shared" si="13"/>
        <v>0</v>
      </c>
      <c r="V43">
        <f t="shared" si="10"/>
        <v>9.639E-3</v>
      </c>
      <c r="W43" s="244">
        <f t="shared" si="11"/>
        <v>0</v>
      </c>
    </row>
    <row r="44" spans="1:24" x14ac:dyDescent="0.25">
      <c r="A44" s="245" t="str">
        <f>A39</f>
        <v>to high ignored</v>
      </c>
      <c r="B44" s="239" t="s">
        <v>419</v>
      </c>
      <c r="C44" s="239"/>
      <c r="D44" s="246">
        <v>2.2000000000000002</v>
      </c>
      <c r="E44" s="247">
        <f t="shared" si="2"/>
        <v>2.2000000000000002</v>
      </c>
      <c r="F44">
        <f t="shared" si="3"/>
        <v>7.9200000000000007E-2</v>
      </c>
      <c r="G44">
        <f t="shared" si="4"/>
        <v>0.22000000000000003</v>
      </c>
      <c r="H44" s="239">
        <f t="shared" si="12"/>
        <v>2.2000000000000002</v>
      </c>
      <c r="I44" s="239"/>
      <c r="K44" s="239"/>
      <c r="L44" s="426"/>
      <c r="M44" t="str">
        <f t="shared" si="5"/>
        <v>Howarth et al. (2011)</v>
      </c>
      <c r="N44">
        <f t="shared" si="6"/>
        <v>0</v>
      </c>
      <c r="O44">
        <f t="shared" si="7"/>
        <v>7.9200000000000007E-2</v>
      </c>
      <c r="P44" s="242">
        <f t="shared" si="8"/>
        <v>0</v>
      </c>
      <c r="Q44" s="242">
        <f t="shared" si="8"/>
        <v>4.4000000000000003E-3</v>
      </c>
      <c r="R44">
        <f t="shared" si="14"/>
        <v>8.1036922493398889E-2</v>
      </c>
      <c r="S44" s="243">
        <f>Q44*$V$7+1%*$V$7*Q44</f>
        <v>8.1036922493398889E-2</v>
      </c>
      <c r="T44">
        <f t="shared" si="9"/>
        <v>8.0234576726137519E-4</v>
      </c>
      <c r="U44">
        <f t="shared" si="13"/>
        <v>0</v>
      </c>
      <c r="V44">
        <f t="shared" si="10"/>
        <v>6.0588000000000005E-3</v>
      </c>
      <c r="W44" s="244">
        <f t="shared" si="11"/>
        <v>0</v>
      </c>
    </row>
    <row r="45" spans="1:24" ht="15.75" thickBot="1" x14ac:dyDescent="0.3">
      <c r="A45" s="212"/>
      <c r="B45" s="13" t="s">
        <v>467</v>
      </c>
      <c r="C45" s="13"/>
      <c r="D45" s="14">
        <v>8.9</v>
      </c>
      <c r="E45" s="8">
        <f t="shared" si="2"/>
        <v>8.9</v>
      </c>
      <c r="F45">
        <f t="shared" si="3"/>
        <v>0.32040000000000002</v>
      </c>
      <c r="G45">
        <f t="shared" si="4"/>
        <v>0.89000000000000012</v>
      </c>
      <c r="H45" s="239">
        <f t="shared" si="12"/>
        <v>8.9</v>
      </c>
      <c r="I45" s="239"/>
      <c r="L45" s="427"/>
      <c r="M45" s="95" t="str">
        <f t="shared" si="5"/>
        <v>Lechtenbohmer et al. (2005)</v>
      </c>
      <c r="N45" s="95">
        <f t="shared" si="6"/>
        <v>0</v>
      </c>
      <c r="O45" s="95">
        <f t="shared" si="7"/>
        <v>0.32040000000000002</v>
      </c>
      <c r="P45" s="248">
        <f t="shared" si="8"/>
        <v>0</v>
      </c>
      <c r="Q45" s="248">
        <f t="shared" si="8"/>
        <v>1.78E-2</v>
      </c>
      <c r="R45">
        <f t="shared" si="14"/>
        <v>0.32783118645056825</v>
      </c>
      <c r="S45" s="243">
        <f>Q45*$V$7+1%*$V$7*Q45</f>
        <v>0.32783118645056825</v>
      </c>
      <c r="T45" s="95">
        <f t="shared" si="9"/>
        <v>3.2458533311937451E-3</v>
      </c>
      <c r="U45" s="95">
        <f>Q45*$V$6*$T$10</f>
        <v>0</v>
      </c>
      <c r="V45" s="95">
        <f t="shared" si="10"/>
        <v>2.45106E-2</v>
      </c>
      <c r="W45" s="229">
        <f t="shared" si="11"/>
        <v>0</v>
      </c>
    </row>
    <row r="46" spans="1:24" ht="15.75" thickBot="1" x14ac:dyDescent="0.3">
      <c r="A46" s="250" t="s">
        <v>470</v>
      </c>
      <c r="B46" s="251" t="s">
        <v>471</v>
      </c>
      <c r="C46" s="251"/>
      <c r="D46" s="252"/>
      <c r="E46" s="8"/>
      <c r="F46">
        <f t="shared" si="3"/>
        <v>0</v>
      </c>
      <c r="G46">
        <f t="shared" si="4"/>
        <v>0</v>
      </c>
      <c r="H46" s="239">
        <f t="shared" si="12"/>
        <v>0</v>
      </c>
      <c r="I46" s="239"/>
      <c r="L46" s="425" t="str">
        <f>A47</f>
        <v>Transport, storage and distribution</v>
      </c>
      <c r="M46" s="224" t="str">
        <f>B47</f>
        <v>Stephenson et al. (2011)</v>
      </c>
      <c r="N46" s="224">
        <f>C47/25</f>
        <v>0</v>
      </c>
      <c r="O46" s="224">
        <f t="shared" si="7"/>
        <v>0</v>
      </c>
      <c r="P46" s="240">
        <f t="shared" si="8"/>
        <v>0</v>
      </c>
      <c r="Q46" s="240">
        <f t="shared" si="8"/>
        <v>0</v>
      </c>
      <c r="R46" s="224">
        <f t="shared" si="14"/>
        <v>0</v>
      </c>
      <c r="S46" s="224">
        <f>$V$7*Q46+1%*$V$7*Q46</f>
        <v>0</v>
      </c>
      <c r="T46" s="224">
        <f>$V$7*Q46+1%*$V$7*Q46</f>
        <v>0</v>
      </c>
      <c r="U46" s="224">
        <f t="shared" si="13"/>
        <v>0</v>
      </c>
      <c r="V46" s="224">
        <f t="shared" si="10"/>
        <v>0</v>
      </c>
      <c r="W46" s="225">
        <f t="shared" si="11"/>
        <v>0</v>
      </c>
    </row>
    <row r="47" spans="1:24" ht="15.75" thickBot="1" x14ac:dyDescent="0.3">
      <c r="A47" s="73" t="s">
        <v>472</v>
      </c>
      <c r="B47" t="s">
        <v>397</v>
      </c>
      <c r="D47" s="11">
        <v>1.9</v>
      </c>
      <c r="E47" s="8">
        <f t="shared" si="2"/>
        <v>1.9</v>
      </c>
      <c r="F47">
        <f t="shared" si="3"/>
        <v>6.8400000000000002E-2</v>
      </c>
      <c r="G47">
        <f t="shared" si="4"/>
        <v>0.19</v>
      </c>
      <c r="H47" s="239">
        <f t="shared" si="12"/>
        <v>1.9</v>
      </c>
      <c r="I47" s="239"/>
      <c r="L47" s="426"/>
      <c r="M47" t="str">
        <f>B48</f>
        <v>Skone et al. (2011)</v>
      </c>
      <c r="N47">
        <f>C48/25</f>
        <v>0</v>
      </c>
      <c r="O47">
        <f t="shared" si="7"/>
        <v>6.8400000000000002E-2</v>
      </c>
      <c r="P47" s="242">
        <f t="shared" si="8"/>
        <v>0</v>
      </c>
      <c r="Q47" s="242">
        <f t="shared" si="8"/>
        <v>3.8E-3</v>
      </c>
      <c r="R47">
        <f t="shared" si="14"/>
        <v>6.9986433062480854E-2</v>
      </c>
      <c r="S47" s="224">
        <f>$V$7*Q47+1%*$V$7*Q47</f>
        <v>6.9986433062480854E-2</v>
      </c>
      <c r="T47" s="224">
        <f>$V$7*Q47+1%*$V$7*Q47</f>
        <v>6.9986433062480854E-2</v>
      </c>
      <c r="U47">
        <f t="shared" si="13"/>
        <v>0</v>
      </c>
      <c r="V47">
        <f t="shared" si="10"/>
        <v>5.2326000000000004E-3</v>
      </c>
      <c r="W47" s="244">
        <f t="shared" si="11"/>
        <v>0</v>
      </c>
    </row>
    <row r="48" spans="1:24" ht="15.75" thickBot="1" x14ac:dyDescent="0.3">
      <c r="A48" s="73"/>
      <c r="B48" t="s">
        <v>407</v>
      </c>
      <c r="D48" s="11">
        <v>2.7</v>
      </c>
      <c r="E48" s="8">
        <f t="shared" si="2"/>
        <v>2.7</v>
      </c>
      <c r="F48">
        <f t="shared" si="3"/>
        <v>9.7200000000000009E-2</v>
      </c>
      <c r="G48">
        <f t="shared" si="4"/>
        <v>0.27</v>
      </c>
      <c r="H48" s="239">
        <f t="shared" si="12"/>
        <v>2.7</v>
      </c>
      <c r="I48" s="239"/>
      <c r="L48" s="427"/>
      <c r="M48" s="95" t="str">
        <f>B49</f>
        <v>Howarth et al. (2011)</v>
      </c>
      <c r="N48" s="95">
        <f>C49/25</f>
        <v>0</v>
      </c>
      <c r="O48" s="95">
        <f t="shared" si="7"/>
        <v>9.7200000000000009E-2</v>
      </c>
      <c r="P48" s="248">
        <f t="shared" si="8"/>
        <v>0</v>
      </c>
      <c r="Q48" s="248">
        <f t="shared" si="8"/>
        <v>5.4000000000000003E-3</v>
      </c>
      <c r="R48">
        <f t="shared" si="14"/>
        <v>9.9454404878262279E-2</v>
      </c>
      <c r="S48" s="224">
        <f>$V$7*Q48+1%*$V$7*Q48</f>
        <v>9.9454404878262279E-2</v>
      </c>
      <c r="T48" s="224">
        <f>$V$7*Q48+1%*$V$7*Q48</f>
        <v>9.9454404878262279E-2</v>
      </c>
      <c r="U48" s="95">
        <f t="shared" si="13"/>
        <v>0</v>
      </c>
      <c r="V48" s="95">
        <f t="shared" si="10"/>
        <v>7.4358000000000011E-3</v>
      </c>
      <c r="W48" s="229">
        <f t="shared" si="11"/>
        <v>0</v>
      </c>
    </row>
    <row r="49" spans="1:18" x14ac:dyDescent="0.25">
      <c r="A49" s="253" t="s">
        <v>466</v>
      </c>
      <c r="B49" s="254" t="s">
        <v>419</v>
      </c>
      <c r="C49" s="254"/>
      <c r="D49" s="255">
        <v>16.2</v>
      </c>
      <c r="E49" s="247">
        <f t="shared" si="2"/>
        <v>16.2</v>
      </c>
      <c r="F49">
        <f t="shared" si="3"/>
        <v>0.58320000000000005</v>
      </c>
      <c r="G49">
        <f t="shared" si="4"/>
        <v>1.62</v>
      </c>
      <c r="H49" s="239">
        <f t="shared" si="12"/>
        <v>16.200000000000003</v>
      </c>
      <c r="I49" s="239"/>
      <c r="K49" s="239"/>
    </row>
    <row r="50" spans="1:18" x14ac:dyDescent="0.25">
      <c r="A50" t="s">
        <v>473</v>
      </c>
      <c r="O50" s="239"/>
      <c r="P50" s="239"/>
      <c r="R50" s="239"/>
    </row>
    <row r="52" spans="1:18" x14ac:dyDescent="0.25">
      <c r="A52" t="s">
        <v>474</v>
      </c>
    </row>
    <row r="53" spans="1:18" x14ac:dyDescent="0.25">
      <c r="A53" t="s">
        <v>475</v>
      </c>
      <c r="F53" t="s">
        <v>476</v>
      </c>
      <c r="G53" t="s">
        <v>477</v>
      </c>
      <c r="H53" t="s">
        <v>478</v>
      </c>
    </row>
    <row r="54" spans="1:18" x14ac:dyDescent="0.25">
      <c r="A54" t="s">
        <v>361</v>
      </c>
      <c r="B54" t="s">
        <v>479</v>
      </c>
      <c r="C54" s="256">
        <v>0.8</v>
      </c>
      <c r="F54" t="s">
        <v>480</v>
      </c>
      <c r="G54">
        <v>56</v>
      </c>
      <c r="H54">
        <f t="shared" ref="H54:H59" si="15">G54*10^9/10^9</f>
        <v>56</v>
      </c>
    </row>
    <row r="55" spans="1:18" x14ac:dyDescent="0.25">
      <c r="A55" t="s">
        <v>481</v>
      </c>
      <c r="B55" t="s">
        <v>383</v>
      </c>
      <c r="F55" t="s">
        <v>482</v>
      </c>
      <c r="G55">
        <v>77</v>
      </c>
      <c r="H55">
        <f t="shared" si="15"/>
        <v>77</v>
      </c>
    </row>
    <row r="56" spans="1:18" x14ac:dyDescent="0.25">
      <c r="A56" t="s">
        <v>483</v>
      </c>
      <c r="B56" t="s">
        <v>484</v>
      </c>
      <c r="F56" t="s">
        <v>485</v>
      </c>
      <c r="G56">
        <v>69</v>
      </c>
      <c r="H56">
        <f t="shared" si="15"/>
        <v>69</v>
      </c>
    </row>
    <row r="57" spans="1:18" x14ac:dyDescent="0.25">
      <c r="A57" t="s">
        <v>486</v>
      </c>
      <c r="B57" t="s">
        <v>487</v>
      </c>
      <c r="F57" t="s">
        <v>488</v>
      </c>
      <c r="G57">
        <v>74</v>
      </c>
      <c r="H57">
        <f t="shared" si="15"/>
        <v>74</v>
      </c>
    </row>
    <row r="58" spans="1:18" x14ac:dyDescent="0.25">
      <c r="A58" t="s">
        <v>489</v>
      </c>
      <c r="B58" t="s">
        <v>490</v>
      </c>
      <c r="F58" t="s">
        <v>491</v>
      </c>
      <c r="G58">
        <v>63</v>
      </c>
      <c r="H58">
        <f t="shared" si="15"/>
        <v>63</v>
      </c>
    </row>
    <row r="59" spans="1:18" x14ac:dyDescent="0.25">
      <c r="A59" t="s">
        <v>492</v>
      </c>
      <c r="B59" t="s">
        <v>493</v>
      </c>
      <c r="F59" t="s">
        <v>157</v>
      </c>
      <c r="G59">
        <v>96</v>
      </c>
      <c r="H59">
        <f t="shared" si="15"/>
        <v>96</v>
      </c>
    </row>
    <row r="60" spans="1:18" x14ac:dyDescent="0.25">
      <c r="A60" t="s">
        <v>494</v>
      </c>
      <c r="B60" t="s">
        <v>495</v>
      </c>
    </row>
    <row r="63" spans="1:18" x14ac:dyDescent="0.25">
      <c r="A63" t="s">
        <v>496</v>
      </c>
    </row>
    <row r="66" spans="1:7" x14ac:dyDescent="0.25">
      <c r="A66" s="257" t="s">
        <v>497</v>
      </c>
    </row>
    <row r="67" spans="1:7" x14ac:dyDescent="0.25">
      <c r="A67" t="s">
        <v>498</v>
      </c>
      <c r="D67" t="str">
        <f>AC12</f>
        <v>1 m3 CH4 =</v>
      </c>
      <c r="E67" s="258">
        <f>AD19</f>
        <v>0.66200000000000003</v>
      </c>
      <c r="F67" s="258" t="str">
        <f>AE19</f>
        <v>kg CH4</v>
      </c>
    </row>
    <row r="68" spans="1:7" x14ac:dyDescent="0.25">
      <c r="A68" s="259" t="s">
        <v>499</v>
      </c>
      <c r="B68" s="57">
        <v>1333</v>
      </c>
      <c r="C68" t="s">
        <v>500</v>
      </c>
      <c r="D68" t="s">
        <v>501</v>
      </c>
      <c r="E68">
        <f>0.77*0.662</f>
        <v>0.50974000000000008</v>
      </c>
      <c r="F68" s="258" t="s">
        <v>502</v>
      </c>
    </row>
    <row r="69" spans="1:7" x14ac:dyDescent="0.25">
      <c r="A69">
        <f>B69/$B$68</f>
        <v>5.7764441110277572E-4</v>
      </c>
      <c r="B69">
        <v>0.77</v>
      </c>
      <c r="C69" t="s">
        <v>500</v>
      </c>
      <c r="D69" t="str">
        <f>D67</f>
        <v>1 m3 CH4 =</v>
      </c>
      <c r="E69" s="258">
        <f>AD12</f>
        <v>37</v>
      </c>
      <c r="F69" t="s">
        <v>412</v>
      </c>
      <c r="G69">
        <f>1/37</f>
        <v>2.7027027027027029E-2</v>
      </c>
    </row>
    <row r="70" spans="1:7" x14ac:dyDescent="0.25">
      <c r="A70">
        <f>B70/$B$68</f>
        <v>1.350337584396099E-4</v>
      </c>
      <c r="B70">
        <v>0.18</v>
      </c>
      <c r="C70" t="s">
        <v>500</v>
      </c>
      <c r="D70" t="str">
        <f>D68</f>
        <v xml:space="preserve">0.77 m3 CH4 = </v>
      </c>
      <c r="E70">
        <f>E68/(1000*1000)</f>
        <v>5.0974000000000012E-7</v>
      </c>
      <c r="F70" t="s">
        <v>503</v>
      </c>
    </row>
    <row r="71" spans="1:7" x14ac:dyDescent="0.25">
      <c r="D71" t="str">
        <f>D69</f>
        <v>1 m3 CH4 =</v>
      </c>
      <c r="E71">
        <f>E70/(0.0243/1000)</f>
        <v>2.0976954732510295E-2</v>
      </c>
      <c r="G71">
        <f>E70/(0.0243/1000)</f>
        <v>2.0976954732510295E-2</v>
      </c>
    </row>
    <row r="72" spans="1:7" x14ac:dyDescent="0.25">
      <c r="A72" t="s">
        <v>504</v>
      </c>
    </row>
    <row r="73" spans="1:7" x14ac:dyDescent="0.25">
      <c r="A73">
        <f>A69*1000/(0.0243*1000)</f>
        <v>2.3771374942501061E-2</v>
      </c>
      <c r="B73" t="s">
        <v>461</v>
      </c>
      <c r="F73">
        <v>24.3</v>
      </c>
      <c r="G73" t="s">
        <v>505</v>
      </c>
    </row>
    <row r="78" spans="1:7" x14ac:dyDescent="0.25">
      <c r="A78" s="26" t="s">
        <v>506</v>
      </c>
    </row>
    <row r="79" spans="1:7" x14ac:dyDescent="0.25">
      <c r="A79" s="8" t="s">
        <v>507</v>
      </c>
      <c r="B79" s="8" t="s">
        <v>508</v>
      </c>
      <c r="C79" s="8" t="s">
        <v>509</v>
      </c>
      <c r="D79" s="428" t="s">
        <v>510</v>
      </c>
      <c r="E79" s="428"/>
    </row>
    <row r="80" spans="1:7" x14ac:dyDescent="0.25">
      <c r="A80" s="8">
        <v>2000</v>
      </c>
      <c r="B80" s="8">
        <v>152430357</v>
      </c>
      <c r="C80" s="8">
        <v>135174090</v>
      </c>
      <c r="D80" s="261">
        <f>B80/(SUM($B$80:$C$80))</f>
        <v>0.53000000031292982</v>
      </c>
      <c r="E80" s="261">
        <f>C80/(SUM($B$80:$C$80))</f>
        <v>0.46999999968707018</v>
      </c>
    </row>
    <row r="81" spans="1:5" x14ac:dyDescent="0.25">
      <c r="A81" s="8">
        <v>2001</v>
      </c>
      <c r="B81" s="8">
        <v>151473376</v>
      </c>
      <c r="C81" s="8">
        <v>134325446</v>
      </c>
      <c r="D81" s="261">
        <f>B81/(SUM($B$81:$C$81))</f>
        <v>0.53000000118964796</v>
      </c>
      <c r="E81" s="261">
        <f>C81/(SUM($B$81:$C$81))</f>
        <v>0.46999999881035198</v>
      </c>
    </row>
    <row r="82" spans="1:5" x14ac:dyDescent="0.25">
      <c r="A82" s="8">
        <v>2002</v>
      </c>
      <c r="B82" s="8">
        <v>149287553</v>
      </c>
      <c r="C82" s="8">
        <v>132387075</v>
      </c>
      <c r="D82" s="261">
        <f>B82/(SUM($B$82:$C$82))</f>
        <v>0.53000000056803132</v>
      </c>
      <c r="E82" s="261">
        <f>C82/(SUM($B$82:$C$82))</f>
        <v>0.46999999943196874</v>
      </c>
    </row>
    <row r="98" spans="1:11" x14ac:dyDescent="0.25">
      <c r="A98" s="262" t="s">
        <v>444</v>
      </c>
      <c r="B98" s="263" t="s">
        <v>511</v>
      </c>
    </row>
    <row r="99" spans="1:11" x14ac:dyDescent="0.25">
      <c r="A99" s="264" t="s">
        <v>512</v>
      </c>
      <c r="C99" s="263"/>
    </row>
    <row r="100" spans="1:11" x14ac:dyDescent="0.25">
      <c r="A100" s="263"/>
    </row>
    <row r="101" spans="1:11" ht="15.75" thickBot="1" x14ac:dyDescent="0.3">
      <c r="A101" s="265" t="s">
        <v>513</v>
      </c>
      <c r="F101" t="s">
        <v>514</v>
      </c>
    </row>
    <row r="102" spans="1:11" ht="36" thickBot="1" x14ac:dyDescent="0.3">
      <c r="A102" s="266" t="s">
        <v>515</v>
      </c>
      <c r="B102" s="267" t="s">
        <v>516</v>
      </c>
      <c r="C102" s="267" t="s">
        <v>517</v>
      </c>
      <c r="D102" s="267" t="s">
        <v>518</v>
      </c>
      <c r="E102" s="267" t="s">
        <v>519</v>
      </c>
    </row>
    <row r="103" spans="1:11" ht="15.75" thickBot="1" x14ac:dyDescent="0.3">
      <c r="A103" s="417" t="s">
        <v>520</v>
      </c>
      <c r="B103" s="268" t="s">
        <v>521</v>
      </c>
      <c r="C103" s="419" t="s">
        <v>522</v>
      </c>
      <c r="D103" s="268">
        <v>0.77</v>
      </c>
      <c r="E103" s="268">
        <v>18</v>
      </c>
    </row>
    <row r="104" spans="1:11" ht="23.25" thickBot="1" x14ac:dyDescent="0.3">
      <c r="A104" s="418"/>
      <c r="B104" s="268" t="s">
        <v>523</v>
      </c>
      <c r="C104" s="420"/>
      <c r="D104" s="268">
        <v>0.18</v>
      </c>
      <c r="E104" s="268">
        <v>2.5</v>
      </c>
      <c r="K104">
        <f>0.77/0.0243</f>
        <v>31.68724279835391</v>
      </c>
    </row>
    <row r="105" spans="1:11" ht="15.75" thickBot="1" x14ac:dyDescent="0.3">
      <c r="A105" s="417" t="s">
        <v>524</v>
      </c>
      <c r="B105" s="268" t="s">
        <v>525</v>
      </c>
      <c r="C105" s="420"/>
      <c r="D105" s="268">
        <v>0</v>
      </c>
      <c r="E105" s="268">
        <v>1.2</v>
      </c>
    </row>
    <row r="106" spans="1:11" ht="15.75" thickBot="1" x14ac:dyDescent="0.3">
      <c r="A106" s="418"/>
      <c r="B106" s="268" t="s">
        <v>526</v>
      </c>
      <c r="C106" s="421"/>
      <c r="D106" s="268">
        <v>0</v>
      </c>
      <c r="E106" s="268">
        <v>0.1</v>
      </c>
    </row>
    <row r="107" spans="1:11" ht="15.75" thickBot="1" x14ac:dyDescent="0.3">
      <c r="A107" s="417" t="s">
        <v>520</v>
      </c>
      <c r="B107" s="268" t="s">
        <v>525</v>
      </c>
      <c r="C107" s="419" t="s">
        <v>527</v>
      </c>
      <c r="D107" s="268">
        <v>7.6999999999999999E-2</v>
      </c>
      <c r="E107" s="268" t="s">
        <v>528</v>
      </c>
    </row>
    <row r="108" spans="1:11" ht="15.75" thickBot="1" x14ac:dyDescent="0.3">
      <c r="A108" s="418"/>
      <c r="B108" s="268" t="s">
        <v>526</v>
      </c>
      <c r="C108" s="420"/>
      <c r="D108" s="268">
        <v>1.7999999999999999E-2</v>
      </c>
      <c r="E108" s="268" t="s">
        <v>528</v>
      </c>
    </row>
    <row r="109" spans="1:11" ht="15.75" thickBot="1" x14ac:dyDescent="0.3">
      <c r="A109" s="417" t="s">
        <v>524</v>
      </c>
      <c r="B109" s="268" t="s">
        <v>525</v>
      </c>
      <c r="C109" s="420"/>
      <c r="D109" s="268">
        <v>0</v>
      </c>
      <c r="E109" s="268" t="s">
        <v>528</v>
      </c>
    </row>
    <row r="110" spans="1:11" ht="15.75" thickBot="1" x14ac:dyDescent="0.3">
      <c r="A110" s="418"/>
      <c r="B110" s="268" t="s">
        <v>526</v>
      </c>
      <c r="C110" s="421"/>
      <c r="D110" s="268">
        <v>0</v>
      </c>
      <c r="E110" s="268" t="s">
        <v>528</v>
      </c>
    </row>
    <row r="112" spans="1:11" x14ac:dyDescent="0.25">
      <c r="A112" s="264" t="s">
        <v>512</v>
      </c>
    </row>
    <row r="113" spans="1:22" x14ac:dyDescent="0.25">
      <c r="A113" s="263" t="s">
        <v>529</v>
      </c>
    </row>
    <row r="116" spans="1:22" x14ac:dyDescent="0.25">
      <c r="A116" s="263" t="s">
        <v>511</v>
      </c>
      <c r="R116" s="263" t="s">
        <v>530</v>
      </c>
    </row>
    <row r="117" spans="1:22" ht="15.75" thickBot="1" x14ac:dyDescent="0.3">
      <c r="A117" t="s">
        <v>531</v>
      </c>
      <c r="H117" t="s">
        <v>532</v>
      </c>
      <c r="N117">
        <f>0.0243/1000</f>
        <v>2.4299999999999998E-5</v>
      </c>
    </row>
    <row r="118" spans="1:22" x14ac:dyDescent="0.25">
      <c r="A118" s="269" t="s">
        <v>533</v>
      </c>
      <c r="B118" s="270" t="s">
        <v>534</v>
      </c>
      <c r="C118" s="270" t="s">
        <v>535</v>
      </c>
      <c r="D118" s="270" t="s">
        <v>536</v>
      </c>
      <c r="E118" s="270" t="s">
        <v>537</v>
      </c>
      <c r="F118" s="269" t="s">
        <v>538</v>
      </c>
      <c r="G118" s="270" t="s">
        <v>539</v>
      </c>
      <c r="H118" s="271" t="s">
        <v>540</v>
      </c>
      <c r="I118" s="271" t="s">
        <v>541</v>
      </c>
      <c r="J118" s="271" t="s">
        <v>542</v>
      </c>
      <c r="K118" s="271" t="s">
        <v>543</v>
      </c>
      <c r="L118" s="271" t="s">
        <v>544</v>
      </c>
      <c r="M118" s="271" t="s">
        <v>545</v>
      </c>
      <c r="N118" s="271" t="s">
        <v>546</v>
      </c>
      <c r="O118" s="271" t="s">
        <v>547</v>
      </c>
      <c r="Q118">
        <f>0.77*10%</f>
        <v>7.7000000000000013E-2</v>
      </c>
      <c r="R118" s="26" t="s">
        <v>548</v>
      </c>
      <c r="S118" s="26" t="s">
        <v>549</v>
      </c>
      <c r="T118" s="26" t="s">
        <v>550</v>
      </c>
      <c r="U118" s="26" t="s">
        <v>551</v>
      </c>
      <c r="V118" s="26">
        <v>2017</v>
      </c>
    </row>
    <row r="119" spans="1:22" x14ac:dyDescent="0.25">
      <c r="A119" s="272">
        <v>2000</v>
      </c>
      <c r="B119" s="273">
        <v>152430357</v>
      </c>
      <c r="C119" s="273">
        <v>135174090</v>
      </c>
      <c r="D119" s="274">
        <f t="shared" ref="D119:E129" si="16">B119/$F119</f>
        <v>0.53000000031292982</v>
      </c>
      <c r="E119" s="274">
        <f t="shared" si="16"/>
        <v>0.46999999968707018</v>
      </c>
      <c r="F119" s="275">
        <f t="shared" ref="F119:F129" si="17">B119+C119</f>
        <v>287604447</v>
      </c>
      <c r="G119" s="274" t="s">
        <v>552</v>
      </c>
      <c r="H119">
        <v>24</v>
      </c>
      <c r="I119">
        <f>1979</f>
        <v>1979</v>
      </c>
      <c r="J119">
        <f>H119+I119</f>
        <v>2003</v>
      </c>
      <c r="K119">
        <f>I119/25</f>
        <v>79.16</v>
      </c>
      <c r="L119">
        <f>H119/F119</f>
        <v>8.3447944739185486E-8</v>
      </c>
      <c r="M119">
        <f>L119/0.0000243</f>
        <v>3.4340717999664806E-3</v>
      </c>
      <c r="N119">
        <f>(K119/F119)/$N$117</f>
        <v>1.1326713486889442E-2</v>
      </c>
      <c r="R119" t="s">
        <v>553</v>
      </c>
      <c r="S119" t="s">
        <v>554</v>
      </c>
      <c r="U119" t="s">
        <v>555</v>
      </c>
      <c r="V119" s="276">
        <v>118761000</v>
      </c>
    </row>
    <row r="120" spans="1:22" x14ac:dyDescent="0.25">
      <c r="A120" s="272">
        <v>2001</v>
      </c>
      <c r="B120" s="273">
        <v>151473376</v>
      </c>
      <c r="C120" s="273">
        <v>134325446</v>
      </c>
      <c r="D120" s="274">
        <f t="shared" si="16"/>
        <v>0.53000000118964796</v>
      </c>
      <c r="E120" s="274">
        <f t="shared" si="16"/>
        <v>0.46999999881035198</v>
      </c>
      <c r="F120" s="275">
        <f t="shared" si="17"/>
        <v>285798822</v>
      </c>
      <c r="G120" s="274">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556</v>
      </c>
      <c r="S120" t="s">
        <v>554</v>
      </c>
      <c r="U120" t="s">
        <v>555</v>
      </c>
      <c r="V120" s="276">
        <v>134699500</v>
      </c>
    </row>
    <row r="121" spans="1:22" x14ac:dyDescent="0.25">
      <c r="A121" s="272">
        <v>2002</v>
      </c>
      <c r="B121" s="273">
        <v>149287553</v>
      </c>
      <c r="C121" s="273">
        <v>132387075</v>
      </c>
      <c r="D121" s="274">
        <f t="shared" si="16"/>
        <v>0.53000000056803132</v>
      </c>
      <c r="E121" s="274">
        <f t="shared" si="16"/>
        <v>0.46999999943196874</v>
      </c>
      <c r="F121" s="275">
        <f t="shared" si="17"/>
        <v>281674628</v>
      </c>
      <c r="G121" s="274">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557</v>
      </c>
      <c r="U121" t="s">
        <v>558</v>
      </c>
      <c r="V121" s="277">
        <f>SUM(V119:V120)/1000000</f>
        <v>253.4605</v>
      </c>
    </row>
    <row r="122" spans="1:22" x14ac:dyDescent="0.25">
      <c r="A122" s="272">
        <v>2003</v>
      </c>
      <c r="B122" s="273">
        <v>161217666</v>
      </c>
      <c r="C122" s="273">
        <v>142966609</v>
      </c>
      <c r="D122" s="274">
        <f t="shared" si="16"/>
        <v>0.53000000082187027</v>
      </c>
      <c r="E122" s="274">
        <f t="shared" si="16"/>
        <v>0.46999999917812979</v>
      </c>
      <c r="F122" s="275">
        <f t="shared" si="17"/>
        <v>304184275</v>
      </c>
      <c r="G122" s="274">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559</v>
      </c>
      <c r="S122" t="s">
        <v>560</v>
      </c>
      <c r="T122" t="s">
        <v>383</v>
      </c>
      <c r="U122" t="s">
        <v>561</v>
      </c>
      <c r="V122" s="278">
        <v>16.853492271</v>
      </c>
    </row>
    <row r="123" spans="1:22" x14ac:dyDescent="0.25">
      <c r="A123" s="272">
        <v>2004</v>
      </c>
      <c r="B123" s="273">
        <v>164944899</v>
      </c>
      <c r="C123" s="273">
        <v>146271891</v>
      </c>
      <c r="D123" s="274">
        <f t="shared" si="16"/>
        <v>0.53000000096395827</v>
      </c>
      <c r="E123" s="274">
        <f t="shared" si="16"/>
        <v>0.46999999903604173</v>
      </c>
      <c r="F123" s="275">
        <f t="shared" si="17"/>
        <v>311216790</v>
      </c>
      <c r="G123" s="274">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562</v>
      </c>
      <c r="S123" t="s">
        <v>560</v>
      </c>
      <c r="T123" t="s">
        <v>383</v>
      </c>
      <c r="U123" t="s">
        <v>561</v>
      </c>
      <c r="V123" s="278">
        <v>3.9397774139999999</v>
      </c>
    </row>
    <row r="124" spans="1:22" x14ac:dyDescent="0.25">
      <c r="A124" s="272">
        <v>2005</v>
      </c>
      <c r="B124" s="273">
        <v>166040627</v>
      </c>
      <c r="C124" s="273">
        <v>147243575</v>
      </c>
      <c r="D124" s="274">
        <f t="shared" si="16"/>
        <v>0.52999999980848056</v>
      </c>
      <c r="E124" s="274">
        <f t="shared" si="16"/>
        <v>0.47000000019151938</v>
      </c>
      <c r="F124" s="275">
        <f t="shared" si="17"/>
        <v>313284202</v>
      </c>
      <c r="G124" s="274">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559</v>
      </c>
      <c r="S124" t="s">
        <v>563</v>
      </c>
      <c r="T124" t="s">
        <v>382</v>
      </c>
      <c r="U124" t="s">
        <v>564</v>
      </c>
      <c r="V124" s="278">
        <v>61.268799900000005</v>
      </c>
    </row>
    <row r="125" spans="1:22" x14ac:dyDescent="0.25">
      <c r="A125" s="272">
        <v>2006</v>
      </c>
      <c r="B125" s="273">
        <v>165935025</v>
      </c>
      <c r="C125" s="273">
        <v>147149928</v>
      </c>
      <c r="D125" s="274">
        <f t="shared" si="16"/>
        <v>0.52999999971253808</v>
      </c>
      <c r="E125" s="274">
        <f t="shared" si="16"/>
        <v>0.47000000028746192</v>
      </c>
      <c r="F125" s="275">
        <f t="shared" si="17"/>
        <v>313084953</v>
      </c>
      <c r="G125" s="274">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562</v>
      </c>
      <c r="S125" t="s">
        <v>563</v>
      </c>
      <c r="T125" t="s">
        <v>382</v>
      </c>
      <c r="U125" t="s">
        <v>564</v>
      </c>
      <c r="V125" s="278">
        <v>14.322576600000001</v>
      </c>
    </row>
    <row r="126" spans="1:22" x14ac:dyDescent="0.25">
      <c r="A126" s="272">
        <v>2007</v>
      </c>
      <c r="B126" s="273">
        <v>167855716</v>
      </c>
      <c r="C126" s="273">
        <v>148853182</v>
      </c>
      <c r="D126" s="274">
        <f t="shared" si="16"/>
        <v>0.53000000018944837</v>
      </c>
      <c r="E126" s="274">
        <f t="shared" si="16"/>
        <v>0.46999999981055157</v>
      </c>
      <c r="F126" s="275">
        <f t="shared" si="17"/>
        <v>316708898</v>
      </c>
      <c r="G126" s="274">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2">
        <v>2008</v>
      </c>
      <c r="B127" s="273">
        <v>170937442</v>
      </c>
      <c r="C127" s="273">
        <v>151586034</v>
      </c>
      <c r="D127" s="274">
        <f t="shared" si="16"/>
        <v>0.52999999913184614</v>
      </c>
      <c r="E127" s="274">
        <f t="shared" si="16"/>
        <v>0.47000000086815386</v>
      </c>
      <c r="F127" s="275">
        <f t="shared" si="17"/>
        <v>322523476</v>
      </c>
      <c r="G127" s="274">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565</v>
      </c>
      <c r="U127" t="s">
        <v>566</v>
      </c>
      <c r="V127">
        <f>SUM(V122:V123)</f>
        <v>20.793269684999999</v>
      </c>
    </row>
    <row r="128" spans="1:22" x14ac:dyDescent="0.25">
      <c r="A128" s="272">
        <v>2009</v>
      </c>
      <c r="B128" s="273">
        <v>169791125</v>
      </c>
      <c r="C128" s="273">
        <v>150569488</v>
      </c>
      <c r="D128" s="274">
        <f t="shared" si="16"/>
        <v>0.53000000034336303</v>
      </c>
      <c r="E128" s="274">
        <f t="shared" si="16"/>
        <v>0.46999999965663697</v>
      </c>
      <c r="F128" s="275">
        <f t="shared" si="17"/>
        <v>320360613</v>
      </c>
      <c r="G128" s="274">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567</v>
      </c>
      <c r="U128" t="s">
        <v>566</v>
      </c>
      <c r="V128">
        <f>SUM(V123:V124)</f>
        <v>65.20857731400001</v>
      </c>
    </row>
    <row r="129" spans="1:22" ht="15.75" thickBot="1" x14ac:dyDescent="0.3">
      <c r="A129" s="279">
        <v>2010</v>
      </c>
      <c r="B129" s="280">
        <v>172502123</v>
      </c>
      <c r="C129" s="280">
        <v>152973581</v>
      </c>
      <c r="D129" s="281">
        <f t="shared" si="16"/>
        <v>0.52999999963130884</v>
      </c>
      <c r="E129" s="281">
        <f t="shared" si="16"/>
        <v>0.47000000036869111</v>
      </c>
      <c r="F129" s="282">
        <f t="shared" si="17"/>
        <v>325475704</v>
      </c>
      <c r="G129" s="281">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568</v>
      </c>
      <c r="M130" s="21">
        <f>SUM(M119:M129)/11</f>
        <v>3.3705740480575387E-3</v>
      </c>
      <c r="N130" s="21">
        <f>SUM(N119:N129)/11</f>
        <v>1.1325309940408588E-2</v>
      </c>
      <c r="P130" s="283">
        <f>M130*0.1</f>
        <v>3.3705740480575389E-4</v>
      </c>
      <c r="Q130">
        <f>N130*0.1</f>
        <v>1.1325309940408588E-3</v>
      </c>
      <c r="R130" t="s">
        <v>383</v>
      </c>
      <c r="U130" t="s">
        <v>569</v>
      </c>
      <c r="V130" s="284">
        <f>V127/V121</f>
        <v>8.2037515451125517E-2</v>
      </c>
    </row>
    <row r="131" spans="1:22" x14ac:dyDescent="0.25">
      <c r="C131" t="s">
        <v>570</v>
      </c>
      <c r="D131" t="s">
        <v>570</v>
      </c>
      <c r="R131" t="s">
        <v>382</v>
      </c>
      <c r="U131" t="s">
        <v>569</v>
      </c>
      <c r="V131" s="284">
        <f>V128/V121</f>
        <v>0.25727313452786532</v>
      </c>
    </row>
    <row r="132" spans="1:22" x14ac:dyDescent="0.25">
      <c r="C132" s="285" t="s">
        <v>571</v>
      </c>
      <c r="D132" t="s">
        <v>572</v>
      </c>
      <c r="E132" s="285" t="s">
        <v>573</v>
      </c>
      <c r="F132" s="286" t="s">
        <v>574</v>
      </c>
      <c r="G132" t="s">
        <v>575</v>
      </c>
      <c r="H132" t="s">
        <v>576</v>
      </c>
      <c r="I132" t="s">
        <v>545</v>
      </c>
      <c r="J132" t="s">
        <v>577</v>
      </c>
      <c r="K132" s="286" t="s">
        <v>578</v>
      </c>
      <c r="L132" t="s">
        <v>579</v>
      </c>
    </row>
    <row r="133" spans="1:22" x14ac:dyDescent="0.25">
      <c r="B133" s="287">
        <v>2000</v>
      </c>
      <c r="C133" s="285">
        <v>325</v>
      </c>
      <c r="D133">
        <f>C133</f>
        <v>325</v>
      </c>
      <c r="E133" s="288">
        <f>[10]Waste!C27/1000</f>
        <v>10.54681185447652</v>
      </c>
      <c r="F133" s="286">
        <v>39532</v>
      </c>
      <c r="G133">
        <f>F133/1000</f>
        <v>39.531999999999996</v>
      </c>
      <c r="H133">
        <f t="shared" ref="H133:H143" si="24">D133/G133</f>
        <v>8.2211878984114151</v>
      </c>
      <c r="I133">
        <f>E133/G133</f>
        <v>0.2667917599533674</v>
      </c>
      <c r="J133" s="82">
        <f>C133-E133</f>
        <v>314.45318814552348</v>
      </c>
      <c r="K133" s="286">
        <f>(J133/25)/G133</f>
        <v>0.31817584553832184</v>
      </c>
      <c r="L133" s="289">
        <f>K133/$V$7</f>
        <v>1.744850882864514E-2</v>
      </c>
      <c r="R133" t="s">
        <v>580</v>
      </c>
    </row>
    <row r="134" spans="1:22" x14ac:dyDescent="0.25">
      <c r="B134" s="290">
        <v>2001</v>
      </c>
      <c r="C134" s="291">
        <v>250</v>
      </c>
      <c r="D134">
        <f t="shared" ref="D134:D143" si="25">C134</f>
        <v>250</v>
      </c>
      <c r="E134" s="288">
        <f>[10]Waste!D27/1000</f>
        <v>16.645231075663826</v>
      </c>
      <c r="F134" s="286">
        <v>41241</v>
      </c>
      <c r="G134">
        <f t="shared" ref="G134:G143" si="26">F134/1000</f>
        <v>41.241</v>
      </c>
      <c r="H134">
        <f t="shared" si="24"/>
        <v>6.0619286632234912</v>
      </c>
      <c r="I134">
        <f t="shared" ref="I134:I142" si="27">E134/G134</f>
        <v>0.40360881345417976</v>
      </c>
      <c r="J134" s="82">
        <f t="shared" ref="J134:J143" si="28">C134-E134</f>
        <v>233.35476892433618</v>
      </c>
      <c r="K134" s="286">
        <f t="shared" ref="K134:K142" si="29">(J134/25)/G134</f>
        <v>0.22633279399077247</v>
      </c>
      <c r="L134" s="289">
        <f t="shared" ref="L134:L143" si="30">K134/$V$7</f>
        <v>1.2411909356218769E-2</v>
      </c>
      <c r="P134">
        <f>N130*0.18/0.77</f>
        <v>2.6474750510046049E-3</v>
      </c>
      <c r="Q134">
        <f>0.1*P134</f>
        <v>2.647475051004605E-4</v>
      </c>
      <c r="R134" t="s">
        <v>581</v>
      </c>
      <c r="U134" t="s">
        <v>582</v>
      </c>
      <c r="V134">
        <v>21</v>
      </c>
    </row>
    <row r="135" spans="1:22" x14ac:dyDescent="0.25">
      <c r="B135" s="287">
        <v>2002</v>
      </c>
      <c r="C135" s="291">
        <v>196</v>
      </c>
      <c r="D135">
        <f t="shared" si="25"/>
        <v>196</v>
      </c>
      <c r="E135" s="288">
        <f>[10]Waste!E27/1000</f>
        <v>12.310313736182735</v>
      </c>
      <c r="F135" s="286">
        <v>43048</v>
      </c>
      <c r="G135">
        <f t="shared" si="26"/>
        <v>43.048000000000002</v>
      </c>
      <c r="H135">
        <f t="shared" si="24"/>
        <v>4.5530570525924547</v>
      </c>
      <c r="I135">
        <f t="shared" si="27"/>
        <v>0.28596714681710494</v>
      </c>
      <c r="J135" s="82">
        <f t="shared" si="28"/>
        <v>183.68968626381726</v>
      </c>
      <c r="K135" s="286">
        <f t="shared" si="29"/>
        <v>0.17068359623101401</v>
      </c>
      <c r="L135" s="289">
        <f t="shared" si="30"/>
        <v>9.3601518704318227E-3</v>
      </c>
      <c r="R135" t="s">
        <v>383</v>
      </c>
      <c r="U135" t="s">
        <v>461</v>
      </c>
      <c r="V135" s="284">
        <f>V130/$V$134</f>
        <v>3.9065483548155009E-3</v>
      </c>
    </row>
    <row r="136" spans="1:22" x14ac:dyDescent="0.25">
      <c r="B136" s="290">
        <v>2003</v>
      </c>
      <c r="C136" s="291">
        <v>1065</v>
      </c>
      <c r="D136">
        <f t="shared" si="25"/>
        <v>1065</v>
      </c>
      <c r="E136" s="288">
        <f>[10]Waste!F27/1000</f>
        <v>15.548949778252988</v>
      </c>
      <c r="F136" s="286">
        <v>48749</v>
      </c>
      <c r="G136">
        <f t="shared" si="26"/>
        <v>48.749000000000002</v>
      </c>
      <c r="H136">
        <f t="shared" si="24"/>
        <v>21.846601981579109</v>
      </c>
      <c r="I136">
        <f t="shared" si="27"/>
        <v>0.31895935872024017</v>
      </c>
      <c r="J136" s="82">
        <f t="shared" si="28"/>
        <v>1049.451050221747</v>
      </c>
      <c r="K136" s="286">
        <f t="shared" si="29"/>
        <v>0.86110570491435467</v>
      </c>
      <c r="L136" s="289">
        <f t="shared" si="30"/>
        <v>4.7222347972939276E-2</v>
      </c>
      <c r="R136" t="s">
        <v>382</v>
      </c>
      <c r="U136" t="s">
        <v>461</v>
      </c>
      <c r="V136" s="284">
        <f>V131/$V$134</f>
        <v>1.2251101644184062E-2</v>
      </c>
    </row>
    <row r="137" spans="1:22" x14ac:dyDescent="0.25">
      <c r="B137" s="287">
        <v>2004</v>
      </c>
      <c r="C137" s="291">
        <v>254</v>
      </c>
      <c r="D137">
        <f t="shared" si="25"/>
        <v>254</v>
      </c>
      <c r="E137" s="288">
        <f>[10]Waste!G27/1000</f>
        <v>18.187467351589461</v>
      </c>
      <c r="F137" s="286">
        <v>50361</v>
      </c>
      <c r="G137">
        <f t="shared" si="26"/>
        <v>50.360999999999997</v>
      </c>
      <c r="H137">
        <f t="shared" si="24"/>
        <v>5.0435853140326845</v>
      </c>
      <c r="I137">
        <f t="shared" si="27"/>
        <v>0.36114190249576977</v>
      </c>
      <c r="J137" s="82">
        <f t="shared" si="28"/>
        <v>235.81253264841052</v>
      </c>
      <c r="K137" s="286">
        <f t="shared" si="29"/>
        <v>0.18729773646147657</v>
      </c>
      <c r="L137" s="289">
        <f t="shared" si="30"/>
        <v>1.0271258029358205E-2</v>
      </c>
    </row>
    <row r="138" spans="1:22" x14ac:dyDescent="0.25">
      <c r="B138" s="290">
        <v>2005</v>
      </c>
      <c r="C138" s="291">
        <v>266</v>
      </c>
      <c r="D138">
        <f t="shared" si="25"/>
        <v>266</v>
      </c>
      <c r="E138" s="288">
        <f>[10]Waste!H27/1000</f>
        <v>16.549473367982134</v>
      </c>
      <c r="F138" s="286">
        <v>53165.84</v>
      </c>
      <c r="G138">
        <f t="shared" si="26"/>
        <v>53.165839999999996</v>
      </c>
      <c r="H138">
        <f t="shared" si="24"/>
        <v>5.0032125891361829</v>
      </c>
      <c r="I138">
        <f t="shared" si="27"/>
        <v>0.31128020112128646</v>
      </c>
      <c r="J138" s="82">
        <f t="shared" si="28"/>
        <v>249.45052663201787</v>
      </c>
      <c r="K138" s="286">
        <f t="shared" si="29"/>
        <v>0.18767729552059584</v>
      </c>
      <c r="L138" s="289">
        <f t="shared" si="30"/>
        <v>1.0292072744513058E-2</v>
      </c>
      <c r="R138" t="s">
        <v>583</v>
      </c>
    </row>
    <row r="139" spans="1:22" x14ac:dyDescent="0.25">
      <c r="B139" s="287">
        <v>2006</v>
      </c>
      <c r="C139" s="291">
        <v>291</v>
      </c>
      <c r="D139">
        <f t="shared" si="25"/>
        <v>291</v>
      </c>
      <c r="E139" s="288">
        <f>[10]Waste!I27/1000</f>
        <v>16.669792311073191</v>
      </c>
      <c r="F139" s="286">
        <v>56037.84</v>
      </c>
      <c r="G139" s="21">
        <f t="shared" si="26"/>
        <v>56.037839999999996</v>
      </c>
      <c r="H139">
        <f t="shared" si="24"/>
        <v>5.1929196414422831</v>
      </c>
      <c r="I139">
        <f t="shared" si="27"/>
        <v>0.29747385536403959</v>
      </c>
      <c r="J139" s="82">
        <f t="shared" si="28"/>
        <v>274.33020768892681</v>
      </c>
      <c r="K139" s="286">
        <f t="shared" si="29"/>
        <v>0.19581783144312975</v>
      </c>
      <c r="L139" s="289">
        <f t="shared" si="30"/>
        <v>1.073849322207608E-2</v>
      </c>
      <c r="R139" t="s">
        <v>581</v>
      </c>
      <c r="U139" t="s">
        <v>582</v>
      </c>
      <c r="V139">
        <v>24</v>
      </c>
    </row>
    <row r="140" spans="1:22" x14ac:dyDescent="0.25">
      <c r="B140" s="290">
        <v>2007</v>
      </c>
      <c r="C140" s="291">
        <v>325</v>
      </c>
      <c r="D140">
        <f t="shared" si="25"/>
        <v>325</v>
      </c>
      <c r="E140" s="288">
        <f>[10]Waste!J27/1000</f>
        <v>17.474810903103542</v>
      </c>
      <c r="F140" s="286">
        <v>58908.41</v>
      </c>
      <c r="G140">
        <f t="shared" si="26"/>
        <v>58.908410000000003</v>
      </c>
      <c r="H140">
        <f t="shared" si="24"/>
        <v>5.5170390781214431</v>
      </c>
      <c r="I140">
        <f t="shared" si="27"/>
        <v>0.296643737339092</v>
      </c>
      <c r="J140" s="82">
        <f t="shared" si="28"/>
        <v>307.52518909689644</v>
      </c>
      <c r="K140" s="286">
        <f t="shared" si="29"/>
        <v>0.20881581363129403</v>
      </c>
      <c r="L140" s="289">
        <f t="shared" si="30"/>
        <v>1.1451292166889259E-2</v>
      </c>
      <c r="R140" t="s">
        <v>383</v>
      </c>
      <c r="U140" t="s">
        <v>461</v>
      </c>
      <c r="V140" s="284">
        <f>V130/$V$139</f>
        <v>3.4182298104635631E-3</v>
      </c>
    </row>
    <row r="141" spans="1:22" x14ac:dyDescent="0.25">
      <c r="B141" s="287">
        <v>2008</v>
      </c>
      <c r="C141" s="291">
        <v>228</v>
      </c>
      <c r="D141">
        <f t="shared" si="25"/>
        <v>228</v>
      </c>
      <c r="E141" s="288">
        <f>[10]Waste!K27/1000</f>
        <v>19.423791484319981</v>
      </c>
      <c r="F141" s="286">
        <v>61777.55</v>
      </c>
      <c r="G141">
        <f t="shared" si="26"/>
        <v>61.777550000000005</v>
      </c>
      <c r="H141">
        <f t="shared" si="24"/>
        <v>3.6906610896676866</v>
      </c>
      <c r="I141">
        <f t="shared" si="27"/>
        <v>0.31441505019736099</v>
      </c>
      <c r="J141" s="82">
        <f t="shared" si="28"/>
        <v>208.57620851568001</v>
      </c>
      <c r="K141" s="286">
        <f t="shared" si="29"/>
        <v>0.13504984157881303</v>
      </c>
      <c r="L141" s="289">
        <f t="shared" si="30"/>
        <v>7.4060252723088431E-3</v>
      </c>
      <c r="R141" t="s">
        <v>479</v>
      </c>
      <c r="U141" t="s">
        <v>461</v>
      </c>
      <c r="V141" s="284">
        <f>V131/$V$139</f>
        <v>1.0719713938661056E-2</v>
      </c>
    </row>
    <row r="142" spans="1:22" x14ac:dyDescent="0.25">
      <c r="B142" s="290">
        <v>2009</v>
      </c>
      <c r="C142" s="291">
        <v>237</v>
      </c>
      <c r="D142">
        <f t="shared" si="25"/>
        <v>237</v>
      </c>
      <c r="E142" s="288">
        <f>[10]Waste!L27/1000</f>
        <v>43.946996690999761</v>
      </c>
      <c r="F142" s="286">
        <v>64645.26</v>
      </c>
      <c r="G142">
        <f t="shared" si="26"/>
        <v>64.645260000000007</v>
      </c>
      <c r="H142">
        <f t="shared" si="24"/>
        <v>3.6661620666387602</v>
      </c>
      <c r="I142">
        <f t="shared" si="27"/>
        <v>0.679817773043217</v>
      </c>
      <c r="J142" s="82">
        <f t="shared" si="28"/>
        <v>193.05300330900025</v>
      </c>
      <c r="K142" s="286">
        <f t="shared" si="29"/>
        <v>0.11945377174382173</v>
      </c>
      <c r="L142" s="289">
        <f t="shared" si="30"/>
        <v>6.5507492794137879E-3</v>
      </c>
    </row>
    <row r="143" spans="1:22" x14ac:dyDescent="0.25">
      <c r="B143" s="287">
        <v>2010</v>
      </c>
      <c r="C143" s="291">
        <v>619</v>
      </c>
      <c r="D143">
        <f t="shared" si="25"/>
        <v>619</v>
      </c>
      <c r="E143" s="285"/>
      <c r="F143" s="286">
        <v>68405.919656963932</v>
      </c>
      <c r="G143">
        <f t="shared" si="26"/>
        <v>68.405919656963931</v>
      </c>
      <c r="H143">
        <f t="shared" si="24"/>
        <v>9.0489244659542258</v>
      </c>
      <c r="J143" s="82">
        <f t="shared" si="28"/>
        <v>619</v>
      </c>
      <c r="K143" s="286">
        <f>(J143/25)/G143</f>
        <v>0.36195697863816906</v>
      </c>
      <c r="L143" s="289">
        <f t="shared" si="30"/>
        <v>1.984943114293428E-2</v>
      </c>
    </row>
    <row r="144" spans="1:22" x14ac:dyDescent="0.25">
      <c r="B144" s="126" t="s">
        <v>584</v>
      </c>
      <c r="C144" s="258">
        <f t="shared" ref="C144:K144" si="31">AVERAGE(C133:C143)</f>
        <v>368.72727272727275</v>
      </c>
      <c r="D144" s="258">
        <f t="shared" si="31"/>
        <v>368.72727272727275</v>
      </c>
      <c r="E144" s="258">
        <f t="shared" si="31"/>
        <v>18.730363855364413</v>
      </c>
      <c r="F144" s="258">
        <f t="shared" si="31"/>
        <v>53261.07451426945</v>
      </c>
      <c r="G144" s="258">
        <f t="shared" si="31"/>
        <v>53.261074514269446</v>
      </c>
      <c r="H144" s="258">
        <f t="shared" si="31"/>
        <v>7.0768436218908848</v>
      </c>
      <c r="I144" s="292">
        <f t="shared" si="31"/>
        <v>0.35360995985056581</v>
      </c>
      <c r="J144" s="258">
        <f t="shared" si="31"/>
        <v>351.69966922239598</v>
      </c>
      <c r="K144" s="292">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33" sqref="B33:B34"/>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4" ht="18" thickBot="1" x14ac:dyDescent="0.35">
      <c r="A1" s="293"/>
      <c r="B1" s="169" t="s">
        <v>585</v>
      </c>
      <c r="C1" s="169"/>
      <c r="D1" s="169"/>
      <c r="E1" s="169"/>
    </row>
    <row r="2" spans="1:14" ht="15.75" thickTop="1" x14ac:dyDescent="0.25"/>
    <row r="5" spans="1:14" x14ac:dyDescent="0.25">
      <c r="B5" s="298" t="s">
        <v>586</v>
      </c>
    </row>
    <row r="6" spans="1:14" x14ac:dyDescent="0.25">
      <c r="B6" s="298" t="s">
        <v>587</v>
      </c>
      <c r="C6" t="s">
        <v>137</v>
      </c>
      <c r="D6" t="s">
        <v>138</v>
      </c>
      <c r="E6" t="s">
        <v>139</v>
      </c>
      <c r="F6" t="s">
        <v>588</v>
      </c>
      <c r="G6" t="s">
        <v>589</v>
      </c>
    </row>
    <row r="7" spans="1:14" x14ac:dyDescent="0.25">
      <c r="B7" t="s">
        <v>590</v>
      </c>
      <c r="C7">
        <v>1</v>
      </c>
      <c r="D7">
        <v>28</v>
      </c>
      <c r="E7">
        <v>265</v>
      </c>
      <c r="F7">
        <v>6630</v>
      </c>
      <c r="G7">
        <v>11000</v>
      </c>
    </row>
    <row r="9" spans="1:14" x14ac:dyDescent="0.25">
      <c r="B9" s="298" t="s">
        <v>586</v>
      </c>
      <c r="C9" s="26" t="s">
        <v>591</v>
      </c>
      <c r="J9" s="26" t="s">
        <v>592</v>
      </c>
      <c r="K9" s="26" t="s">
        <v>593</v>
      </c>
    </row>
    <row r="10" spans="1:14" x14ac:dyDescent="0.25">
      <c r="B10" s="298" t="s">
        <v>587</v>
      </c>
      <c r="C10" t="s">
        <v>594</v>
      </c>
      <c r="D10" t="s">
        <v>595</v>
      </c>
      <c r="E10" t="s">
        <v>596</v>
      </c>
      <c r="F10" t="s">
        <v>597</v>
      </c>
      <c r="G10" t="s">
        <v>598</v>
      </c>
      <c r="H10" t="s">
        <v>599</v>
      </c>
      <c r="I10" t="s">
        <v>600</v>
      </c>
      <c r="J10" t="s">
        <v>601</v>
      </c>
      <c r="K10" t="s">
        <v>602</v>
      </c>
      <c r="L10" t="s">
        <v>603</v>
      </c>
      <c r="M10" t="s">
        <v>604</v>
      </c>
      <c r="N10" t="s">
        <v>605</v>
      </c>
    </row>
    <row r="11" spans="1:14" x14ac:dyDescent="0.25">
      <c r="B11" t="s">
        <v>137</v>
      </c>
      <c r="C11">
        <v>1</v>
      </c>
      <c r="D11">
        <v>1</v>
      </c>
      <c r="E11">
        <v>1</v>
      </c>
      <c r="F11">
        <v>1</v>
      </c>
      <c r="G11">
        <v>1</v>
      </c>
      <c r="H11">
        <v>1</v>
      </c>
      <c r="I11">
        <v>1</v>
      </c>
      <c r="J11">
        <v>1</v>
      </c>
      <c r="K11">
        <v>1</v>
      </c>
      <c r="L11">
        <v>1</v>
      </c>
      <c r="M11">
        <v>1</v>
      </c>
      <c r="N11">
        <v>1</v>
      </c>
    </row>
    <row r="13" spans="1:14" x14ac:dyDescent="0.25">
      <c r="B13" s="298" t="s">
        <v>586</v>
      </c>
      <c r="J13" t="s">
        <v>592</v>
      </c>
    </row>
    <row r="14" spans="1:14" x14ac:dyDescent="0.25">
      <c r="B14" s="298" t="s">
        <v>587</v>
      </c>
      <c r="C14" t="s">
        <v>606</v>
      </c>
      <c r="D14" t="s">
        <v>607</v>
      </c>
      <c r="E14" t="s">
        <v>608</v>
      </c>
      <c r="F14" t="s">
        <v>609</v>
      </c>
      <c r="G14" t="s">
        <v>610</v>
      </c>
      <c r="H14" t="s">
        <v>611</v>
      </c>
      <c r="I14" t="s">
        <v>612</v>
      </c>
      <c r="J14" t="s">
        <v>613</v>
      </c>
    </row>
    <row r="15" spans="1:14" x14ac:dyDescent="0.25">
      <c r="B15" t="s">
        <v>138</v>
      </c>
      <c r="C15">
        <v>1</v>
      </c>
      <c r="D15">
        <v>1</v>
      </c>
      <c r="E15">
        <v>1</v>
      </c>
      <c r="F15">
        <v>1</v>
      </c>
      <c r="G15">
        <v>1</v>
      </c>
      <c r="H15">
        <v>1</v>
      </c>
      <c r="I15">
        <v>1</v>
      </c>
      <c r="J15">
        <v>28</v>
      </c>
    </row>
    <row r="17" spans="2:9" x14ac:dyDescent="0.25">
      <c r="B17" s="298" t="s">
        <v>586</v>
      </c>
    </row>
    <row r="18" spans="2:9" x14ac:dyDescent="0.25">
      <c r="B18" s="298" t="s">
        <v>587</v>
      </c>
      <c r="C18" t="s">
        <v>614</v>
      </c>
      <c r="D18" t="s">
        <v>615</v>
      </c>
      <c r="E18" t="s">
        <v>616</v>
      </c>
      <c r="F18" t="s">
        <v>617</v>
      </c>
      <c r="G18" t="s">
        <v>618</v>
      </c>
      <c r="H18" t="s">
        <v>619</v>
      </c>
      <c r="I18" t="s">
        <v>620</v>
      </c>
    </row>
    <row r="19" spans="2:9" x14ac:dyDescent="0.25">
      <c r="B19" t="s">
        <v>139</v>
      </c>
      <c r="C19">
        <v>1</v>
      </c>
      <c r="D19">
        <v>1</v>
      </c>
      <c r="E19">
        <v>1</v>
      </c>
      <c r="F19">
        <v>1</v>
      </c>
      <c r="G19">
        <v>1</v>
      </c>
      <c r="H19">
        <v>1</v>
      </c>
      <c r="I19">
        <v>1</v>
      </c>
    </row>
    <row r="21" spans="2:9" x14ac:dyDescent="0.25">
      <c r="B21" s="298" t="s">
        <v>586</v>
      </c>
    </row>
    <row r="22" spans="2:9" x14ac:dyDescent="0.25">
      <c r="B22" s="298" t="s">
        <v>587</v>
      </c>
      <c r="C22" t="s">
        <v>621</v>
      </c>
      <c r="D22" t="s">
        <v>622</v>
      </c>
      <c r="E22" t="s">
        <v>623</v>
      </c>
      <c r="F22" t="s">
        <v>624</v>
      </c>
      <c r="G22" t="s">
        <v>625</v>
      </c>
      <c r="H22" t="s">
        <v>626</v>
      </c>
      <c r="I22" t="s">
        <v>627</v>
      </c>
    </row>
    <row r="23" spans="2:9" x14ac:dyDescent="0.25">
      <c r="B23" t="s">
        <v>140</v>
      </c>
      <c r="C23">
        <v>1</v>
      </c>
      <c r="D23">
        <v>1</v>
      </c>
      <c r="E23">
        <v>1</v>
      </c>
      <c r="F23">
        <v>1</v>
      </c>
      <c r="G23">
        <v>1</v>
      </c>
      <c r="H23">
        <v>1</v>
      </c>
      <c r="I23">
        <v>1</v>
      </c>
    </row>
    <row r="25" spans="2:9" x14ac:dyDescent="0.25">
      <c r="B25" s="298" t="s">
        <v>586</v>
      </c>
    </row>
    <row r="26" spans="2:9" x14ac:dyDescent="0.25">
      <c r="B26" s="298" t="s">
        <v>587</v>
      </c>
      <c r="C26" t="s">
        <v>628</v>
      </c>
      <c r="D26" t="s">
        <v>629</v>
      </c>
      <c r="E26" t="s">
        <v>630</v>
      </c>
      <c r="F26" t="s">
        <v>631</v>
      </c>
      <c r="G26" t="s">
        <v>632</v>
      </c>
      <c r="H26" t="s">
        <v>633</v>
      </c>
      <c r="I26" t="s">
        <v>634</v>
      </c>
    </row>
    <row r="27" spans="2:9" x14ac:dyDescent="0.25">
      <c r="B27" t="s">
        <v>141</v>
      </c>
      <c r="C27">
        <v>1</v>
      </c>
      <c r="D27">
        <v>1</v>
      </c>
      <c r="E27">
        <v>1</v>
      </c>
      <c r="F27">
        <v>1</v>
      </c>
      <c r="G27">
        <v>1</v>
      </c>
      <c r="H27">
        <v>1</v>
      </c>
      <c r="I27">
        <v>1</v>
      </c>
    </row>
    <row r="29" spans="2:9" x14ac:dyDescent="0.25">
      <c r="B29" s="298" t="s">
        <v>586</v>
      </c>
    </row>
    <row r="30" spans="2:9" x14ac:dyDescent="0.25">
      <c r="B30" s="298" t="s">
        <v>587</v>
      </c>
      <c r="C30" t="s">
        <v>635</v>
      </c>
      <c r="D30" t="s">
        <v>636</v>
      </c>
      <c r="E30" t="s">
        <v>637</v>
      </c>
      <c r="F30" t="s">
        <v>638</v>
      </c>
      <c r="G30" t="s">
        <v>639</v>
      </c>
      <c r="H30" t="s">
        <v>640</v>
      </c>
      <c r="I30" t="s">
        <v>641</v>
      </c>
    </row>
    <row r="31" spans="2:9" x14ac:dyDescent="0.25">
      <c r="B31" t="s">
        <v>142</v>
      </c>
      <c r="C31">
        <v>1</v>
      </c>
      <c r="D31">
        <v>1</v>
      </c>
      <c r="E31">
        <v>1</v>
      </c>
      <c r="F31">
        <v>1</v>
      </c>
      <c r="G31">
        <v>1</v>
      </c>
      <c r="H31">
        <v>1</v>
      </c>
      <c r="I31">
        <v>1</v>
      </c>
    </row>
    <row r="33" spans="2:54" x14ac:dyDescent="0.25">
      <c r="B33" s="298" t="s">
        <v>586</v>
      </c>
    </row>
    <row r="34" spans="2:54" x14ac:dyDescent="0.25">
      <c r="B34" s="298" t="s">
        <v>587</v>
      </c>
      <c r="C34" t="s">
        <v>642</v>
      </c>
      <c r="D34" t="s">
        <v>643</v>
      </c>
      <c r="E34" t="s">
        <v>644</v>
      </c>
      <c r="F34" t="s">
        <v>645</v>
      </c>
      <c r="G34" t="s">
        <v>646</v>
      </c>
      <c r="H34" t="s">
        <v>647</v>
      </c>
      <c r="I34" t="s">
        <v>648</v>
      </c>
    </row>
    <row r="35" spans="2:54" x14ac:dyDescent="0.25">
      <c r="B35" t="s">
        <v>143</v>
      </c>
      <c r="C35">
        <v>1</v>
      </c>
      <c r="D35">
        <v>1</v>
      </c>
      <c r="E35">
        <v>1</v>
      </c>
      <c r="F35">
        <v>1</v>
      </c>
      <c r="G35">
        <v>1</v>
      </c>
      <c r="H35">
        <v>1</v>
      </c>
      <c r="I35">
        <v>1</v>
      </c>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0"/>
  <sheetViews>
    <sheetView workbookViewId="0">
      <selection activeCell="Y21" sqref="Y21"/>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4"/>
      <c r="B1" s="294"/>
      <c r="C1" s="294"/>
      <c r="D1" s="294"/>
      <c r="E1" s="294"/>
      <c r="F1" s="294"/>
      <c r="G1" s="294"/>
      <c r="H1" s="294"/>
      <c r="I1" s="294"/>
      <c r="J1" s="294"/>
      <c r="K1" s="171"/>
      <c r="L1" s="171"/>
      <c r="M1" s="171"/>
      <c r="N1" s="171"/>
      <c r="O1" s="171"/>
      <c r="P1" s="171"/>
      <c r="Q1" s="171"/>
    </row>
    <row r="2" spans="1:27" ht="18" thickBot="1" x14ac:dyDescent="0.35">
      <c r="A2" s="171"/>
      <c r="B2" s="169" t="s">
        <v>649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1054</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2"/>
      <c r="S6" s="392"/>
      <c r="T6" s="392"/>
      <c r="U6" s="298" t="s">
        <v>334</v>
      </c>
      <c r="V6" s="392"/>
      <c r="W6" s="392"/>
      <c r="X6" t="s">
        <v>650</v>
      </c>
      <c r="Y6" s="392"/>
      <c r="Z6" s="298"/>
      <c r="AA6" s="295"/>
    </row>
    <row r="7" spans="1:27" ht="15" x14ac:dyDescent="0.25">
      <c r="A7" s="171"/>
      <c r="D7" s="384" t="s">
        <v>651</v>
      </c>
      <c r="E7" s="298"/>
      <c r="F7" s="298"/>
      <c r="G7" s="298"/>
      <c r="H7" s="298"/>
      <c r="I7" s="174"/>
      <c r="J7" s="174"/>
      <c r="K7" s="384" t="s">
        <v>652</v>
      </c>
      <c r="L7" s="298"/>
      <c r="M7" s="298"/>
      <c r="N7" s="298"/>
      <c r="O7" s="298"/>
      <c r="P7" s="298"/>
      <c r="Q7" s="174"/>
      <c r="R7" s="393" t="s">
        <v>653</v>
      </c>
      <c r="S7" s="393" t="s">
        <v>336</v>
      </c>
      <c r="T7" s="393" t="s">
        <v>337</v>
      </c>
      <c r="U7" s="393" t="s">
        <v>370</v>
      </c>
      <c r="V7" s="394" t="s">
        <v>654</v>
      </c>
      <c r="W7" s="394" t="s">
        <v>131</v>
      </c>
      <c r="X7" s="394" t="s">
        <v>130</v>
      </c>
      <c r="Y7" s="394" t="s">
        <v>655</v>
      </c>
      <c r="Z7" s="394" t="s">
        <v>656</v>
      </c>
      <c r="AA7" s="295"/>
    </row>
    <row r="8" spans="1:27" ht="15.75" thickBot="1" x14ac:dyDescent="0.3">
      <c r="A8" s="171"/>
      <c r="B8" s="294" t="s">
        <v>657</v>
      </c>
      <c r="C8" s="294" t="s">
        <v>658</v>
      </c>
      <c r="D8" s="387" t="s">
        <v>587</v>
      </c>
      <c r="E8" s="387" t="s">
        <v>659</v>
      </c>
      <c r="F8" s="387" t="s">
        <v>660</v>
      </c>
      <c r="G8" s="387" t="s">
        <v>661</v>
      </c>
      <c r="H8" s="387" t="s">
        <v>662</v>
      </c>
      <c r="I8" s="174"/>
      <c r="J8" s="174"/>
      <c r="K8" s="387" t="s">
        <v>336</v>
      </c>
      <c r="L8" s="387" t="s">
        <v>335</v>
      </c>
      <c r="M8" s="387" t="s">
        <v>663</v>
      </c>
      <c r="N8" s="387" t="s">
        <v>664</v>
      </c>
      <c r="O8" s="387" t="s">
        <v>665</v>
      </c>
      <c r="P8" s="387" t="s">
        <v>666</v>
      </c>
      <c r="Q8" s="174"/>
      <c r="R8" s="391" t="s">
        <v>356</v>
      </c>
      <c r="S8" s="391"/>
      <c r="T8" s="391"/>
      <c r="U8" s="391"/>
      <c r="V8" s="391"/>
      <c r="W8" s="391"/>
      <c r="X8" s="391" t="s">
        <v>440</v>
      </c>
      <c r="Y8" s="391" t="s">
        <v>667</v>
      </c>
      <c r="Z8" s="391"/>
      <c r="AA8" s="295"/>
    </row>
    <row r="9" spans="1:27" ht="15" x14ac:dyDescent="0.25">
      <c r="B9" t="s">
        <v>7</v>
      </c>
      <c r="C9" t="s">
        <v>152</v>
      </c>
      <c r="D9" t="str">
        <f>B9&amp;C9</f>
        <v>INDBIB</v>
      </c>
      <c r="E9" t="str">
        <f t="shared" ref="E9:E56" si="0">INDEX(SectorNamesLong,MATCH(B9,SectorNamesShort,0))&amp;" "&amp;INDEX(FuelNamesLong,MATCH(C9,FuelNamesShort,0))</f>
        <v>Industry Biomass bagasse</v>
      </c>
      <c r="F9" t="s">
        <v>241</v>
      </c>
      <c r="G9"/>
      <c r="H9"/>
      <c r="I9"/>
      <c r="J9"/>
      <c r="K9" t="str">
        <f>"X"&amp;D9</f>
        <v>XINDBIB</v>
      </c>
      <c r="L9" t="str">
        <f>E9</f>
        <v>Industry Biomass bagasse</v>
      </c>
      <c r="M9" t="s">
        <v>241</v>
      </c>
      <c r="N9" t="s">
        <v>440</v>
      </c>
      <c r="O9" t="s">
        <v>369</v>
      </c>
      <c r="P9" t="s">
        <v>668</v>
      </c>
      <c r="Q9"/>
      <c r="R9"/>
      <c r="S9" t="str">
        <f>K9</f>
        <v>XINDBIB</v>
      </c>
      <c r="T9" t="str">
        <f>C9</f>
        <v>BIB</v>
      </c>
      <c r="U9" t="str">
        <f>D9</f>
        <v>INDBIB</v>
      </c>
      <c r="V9">
        <v>1</v>
      </c>
      <c r="W9">
        <v>60</v>
      </c>
      <c r="X9"/>
      <c r="Y9">
        <v>1</v>
      </c>
      <c r="Z9">
        <v>1</v>
      </c>
      <c r="AA9" s="295"/>
    </row>
    <row r="10" spans="1:27" ht="15" x14ac:dyDescent="0.25">
      <c r="B10" t="s">
        <v>11</v>
      </c>
      <c r="C10" t="s">
        <v>150</v>
      </c>
      <c r="D10" t="str">
        <f t="shared" ref="D10:D56" si="1">B10&amp;C10</f>
        <v>UPSBID</v>
      </c>
      <c r="E10" t="str">
        <f t="shared" si="0"/>
        <v>Upstream Biodiesel</v>
      </c>
      <c r="F10" t="s">
        <v>241</v>
      </c>
      <c r="G10"/>
      <c r="H10"/>
      <c r="I10"/>
      <c r="J10"/>
      <c r="K10" t="str">
        <f t="shared" ref="K10:K56" si="2">"X"&amp;D10</f>
        <v>XUPSBID</v>
      </c>
      <c r="L10" t="str">
        <f t="shared" ref="L10:L56" si="3">E10</f>
        <v>Upstream Biodiesel</v>
      </c>
      <c r="M10" t="s">
        <v>241</v>
      </c>
      <c r="N10" t="s">
        <v>440</v>
      </c>
      <c r="O10" t="s">
        <v>369</v>
      </c>
      <c r="P10" t="s">
        <v>668</v>
      </c>
      <c r="Q10"/>
      <c r="R10"/>
      <c r="S10" t="str">
        <f t="shared" ref="S10:S56" si="4">K10</f>
        <v>XUPSBID</v>
      </c>
      <c r="T10" t="str">
        <f t="shared" ref="T10:U56" si="5">C10</f>
        <v>BID</v>
      </c>
      <c r="U10" t="str">
        <f t="shared" si="5"/>
        <v>UPSBID</v>
      </c>
      <c r="V10">
        <v>1</v>
      </c>
      <c r="W10">
        <v>60</v>
      </c>
      <c r="X10"/>
      <c r="Y10">
        <v>1</v>
      </c>
      <c r="Z10">
        <v>1</v>
      </c>
      <c r="AA10" s="24"/>
    </row>
    <row r="11" spans="1:27" ht="15" x14ac:dyDescent="0.25">
      <c r="B11" t="s">
        <v>11</v>
      </c>
      <c r="C11" t="s">
        <v>148</v>
      </c>
      <c r="D11" t="str">
        <f t="shared" si="1"/>
        <v>UPSBIE</v>
      </c>
      <c r="E11" t="str">
        <f t="shared" si="0"/>
        <v>Upstream Bioethanol</v>
      </c>
      <c r="F11" t="s">
        <v>241</v>
      </c>
      <c r="G11"/>
      <c r="H11"/>
      <c r="I11"/>
      <c r="J11"/>
      <c r="K11" t="str">
        <f t="shared" si="2"/>
        <v>XUPSBIE</v>
      </c>
      <c r="L11" t="str">
        <f t="shared" si="3"/>
        <v>Upstream Bioethanol</v>
      </c>
      <c r="M11" t="s">
        <v>241</v>
      </c>
      <c r="N11" t="s">
        <v>440</v>
      </c>
      <c r="O11" t="s">
        <v>369</v>
      </c>
      <c r="P11" t="s">
        <v>668</v>
      </c>
      <c r="Q11"/>
      <c r="R11"/>
      <c r="S11" t="str">
        <f t="shared" si="4"/>
        <v>XUPSBIE</v>
      </c>
      <c r="T11" t="str">
        <f t="shared" si="5"/>
        <v>BIE</v>
      </c>
      <c r="U11" t="str">
        <f t="shared" si="5"/>
        <v>UPSBIE</v>
      </c>
      <c r="V11">
        <v>1</v>
      </c>
      <c r="W11">
        <v>60</v>
      </c>
      <c r="X11"/>
      <c r="Y11">
        <v>1</v>
      </c>
      <c r="Z11">
        <v>1</v>
      </c>
      <c r="AA11" s="24"/>
    </row>
    <row r="12" spans="1:27" ht="15" x14ac:dyDescent="0.25">
      <c r="B12" t="s">
        <v>7</v>
      </c>
      <c r="C12" t="s">
        <v>156</v>
      </c>
      <c r="D12" t="str">
        <f t="shared" si="1"/>
        <v>INDBIW</v>
      </c>
      <c r="E12" t="str">
        <f t="shared" si="0"/>
        <v>Industry Biomass Wood</v>
      </c>
      <c r="F12" t="s">
        <v>241</v>
      </c>
      <c r="G12"/>
      <c r="H12"/>
      <c r="I12"/>
      <c r="J12"/>
      <c r="K12" t="str">
        <f t="shared" si="2"/>
        <v>XINDBIW</v>
      </c>
      <c r="L12" t="str">
        <f t="shared" si="3"/>
        <v>Industry Biomass Wood</v>
      </c>
      <c r="M12" t="s">
        <v>241</v>
      </c>
      <c r="N12" t="s">
        <v>440</v>
      </c>
      <c r="O12" t="s">
        <v>369</v>
      </c>
      <c r="P12" t="s">
        <v>668</v>
      </c>
      <c r="Q12"/>
      <c r="R12"/>
      <c r="S12" t="str">
        <f t="shared" si="4"/>
        <v>XINDBIW</v>
      </c>
      <c r="T12" t="str">
        <f t="shared" si="5"/>
        <v>BIW</v>
      </c>
      <c r="U12" t="str">
        <f t="shared" si="5"/>
        <v>INDBIW</v>
      </c>
      <c r="V12">
        <v>1</v>
      </c>
      <c r="W12">
        <v>60</v>
      </c>
      <c r="X12"/>
      <c r="Y12">
        <v>1</v>
      </c>
      <c r="Z12">
        <v>1</v>
      </c>
    </row>
    <row r="13" spans="1:27" ht="15" x14ac:dyDescent="0.25">
      <c r="B13" t="s">
        <v>9</v>
      </c>
      <c r="C13" t="s">
        <v>156</v>
      </c>
      <c r="D13" t="str">
        <f t="shared" si="1"/>
        <v>RESBIW</v>
      </c>
      <c r="E13" t="str">
        <f t="shared" si="0"/>
        <v>Residential Biomass Wood</v>
      </c>
      <c r="F13" t="s">
        <v>241</v>
      </c>
      <c r="G13"/>
      <c r="H13"/>
      <c r="I13"/>
      <c r="J13"/>
      <c r="K13" t="str">
        <f t="shared" si="2"/>
        <v>XRESBIW</v>
      </c>
      <c r="L13" t="str">
        <f t="shared" si="3"/>
        <v>Residential Biomass Wood</v>
      </c>
      <c r="M13" t="s">
        <v>241</v>
      </c>
      <c r="N13" t="s">
        <v>440</v>
      </c>
      <c r="O13" t="s">
        <v>369</v>
      </c>
      <c r="P13" t="s">
        <v>668</v>
      </c>
      <c r="Q13"/>
      <c r="R13"/>
      <c r="S13" t="str">
        <f t="shared" si="4"/>
        <v>XRESBIW</v>
      </c>
      <c r="T13" t="str">
        <f t="shared" si="5"/>
        <v>BIW</v>
      </c>
      <c r="U13" t="str">
        <f t="shared" si="5"/>
        <v>RESBIW</v>
      </c>
      <c r="V13">
        <v>1</v>
      </c>
      <c r="W13">
        <v>60</v>
      </c>
      <c r="X13"/>
      <c r="Y13">
        <v>1</v>
      </c>
      <c r="Z13">
        <v>1</v>
      </c>
    </row>
    <row r="14" spans="1:27" ht="15" x14ac:dyDescent="0.25">
      <c r="B14" t="s">
        <v>7</v>
      </c>
      <c r="C14" t="s">
        <v>164</v>
      </c>
      <c r="D14" t="str">
        <f t="shared" si="1"/>
        <v>INDCLE</v>
      </c>
      <c r="E14" t="str">
        <f t="shared" si="0"/>
        <v>Industry Coal low grade</v>
      </c>
      <c r="F14" t="s">
        <v>241</v>
      </c>
      <c r="G14"/>
      <c r="H14"/>
      <c r="I14"/>
      <c r="J14"/>
      <c r="K14" t="str">
        <f t="shared" si="2"/>
        <v>XINDCLE</v>
      </c>
      <c r="L14" t="str">
        <f t="shared" si="3"/>
        <v>Industry Coal low grade</v>
      </c>
      <c r="M14" t="s">
        <v>241</v>
      </c>
      <c r="N14" t="s">
        <v>440</v>
      </c>
      <c r="O14" t="s">
        <v>369</v>
      </c>
      <c r="P14" t="s">
        <v>668</v>
      </c>
      <c r="Q14"/>
      <c r="R14"/>
      <c r="S14" t="str">
        <f t="shared" si="4"/>
        <v>XINDCLE</v>
      </c>
      <c r="T14" t="str">
        <f t="shared" si="5"/>
        <v>CLE</v>
      </c>
      <c r="U14" t="str">
        <f t="shared" si="5"/>
        <v>INDCLE</v>
      </c>
      <c r="V14">
        <v>1</v>
      </c>
      <c r="W14">
        <v>60</v>
      </c>
      <c r="X14"/>
      <c r="Y14">
        <v>1</v>
      </c>
      <c r="Z14">
        <v>1</v>
      </c>
    </row>
    <row r="15" spans="1:27" ht="15" x14ac:dyDescent="0.25">
      <c r="B15" t="s">
        <v>11</v>
      </c>
      <c r="C15" t="s">
        <v>164</v>
      </c>
      <c r="D15" t="str">
        <f t="shared" si="1"/>
        <v>UPSCLE</v>
      </c>
      <c r="E15" t="str">
        <f t="shared" si="0"/>
        <v>Upstream Coal low grade</v>
      </c>
      <c r="F15" t="s">
        <v>241</v>
      </c>
      <c r="G15"/>
      <c r="H15"/>
      <c r="I15"/>
      <c r="J15"/>
      <c r="K15" t="str">
        <f t="shared" si="2"/>
        <v>XUPSCLE</v>
      </c>
      <c r="L15" t="str">
        <f t="shared" si="3"/>
        <v>Upstream Coal low grade</v>
      </c>
      <c r="M15" t="s">
        <v>241</v>
      </c>
      <c r="N15" t="s">
        <v>440</v>
      </c>
      <c r="O15" t="s">
        <v>369</v>
      </c>
      <c r="P15" t="s">
        <v>668</v>
      </c>
      <c r="Q15"/>
      <c r="R15"/>
      <c r="S15" t="str">
        <f t="shared" si="4"/>
        <v>XUPSCLE</v>
      </c>
      <c r="T15" t="str">
        <f t="shared" si="5"/>
        <v>CLE</v>
      </c>
      <c r="U15" t="str">
        <f t="shared" si="5"/>
        <v>UPSCLE</v>
      </c>
      <c r="V15">
        <v>1</v>
      </c>
      <c r="W15">
        <v>60</v>
      </c>
      <c r="X15"/>
      <c r="Y15">
        <v>1</v>
      </c>
      <c r="Z15">
        <v>1</v>
      </c>
    </row>
    <row r="16" spans="1:27" ht="15" x14ac:dyDescent="0.25">
      <c r="B16" t="s">
        <v>5</v>
      </c>
      <c r="C16" t="s">
        <v>158</v>
      </c>
      <c r="D16" t="str">
        <f t="shared" si="1"/>
        <v>AGRCOA</v>
      </c>
      <c r="E16" t="str">
        <f t="shared" si="0"/>
        <v>Agriculture Coal</v>
      </c>
      <c r="F16" t="s">
        <v>241</v>
      </c>
      <c r="G16"/>
      <c r="H16"/>
      <c r="I16"/>
      <c r="J16"/>
      <c r="K16" t="str">
        <f t="shared" si="2"/>
        <v>XAGRCOA</v>
      </c>
      <c r="L16" t="str">
        <f t="shared" si="3"/>
        <v>Agriculture Coal</v>
      </c>
      <c r="M16" t="s">
        <v>241</v>
      </c>
      <c r="N16" t="s">
        <v>440</v>
      </c>
      <c r="O16" t="s">
        <v>369</v>
      </c>
      <c r="P16" t="s">
        <v>668</v>
      </c>
      <c r="Q16"/>
      <c r="R16"/>
      <c r="S16" t="str">
        <f t="shared" si="4"/>
        <v>XAGRCOA</v>
      </c>
      <c r="T16" t="str">
        <f t="shared" si="5"/>
        <v>COA</v>
      </c>
      <c r="U16" t="str">
        <f t="shared" si="5"/>
        <v>AGRCOA</v>
      </c>
      <c r="V16">
        <v>1</v>
      </c>
      <c r="W16">
        <v>60</v>
      </c>
      <c r="X16"/>
      <c r="Y16">
        <v>1</v>
      </c>
      <c r="Z16">
        <v>1</v>
      </c>
    </row>
    <row r="17" spans="2:26" ht="15" x14ac:dyDescent="0.25">
      <c r="B17" t="s">
        <v>6</v>
      </c>
      <c r="C17" t="s">
        <v>158</v>
      </c>
      <c r="D17" t="str">
        <f t="shared" si="1"/>
        <v>COMCOA</v>
      </c>
      <c r="E17" t="str">
        <f t="shared" si="0"/>
        <v>Commerce Coal</v>
      </c>
      <c r="F17" t="s">
        <v>241</v>
      </c>
      <c r="G17"/>
      <c r="H17"/>
      <c r="I17"/>
      <c r="J17"/>
      <c r="K17" t="str">
        <f t="shared" si="2"/>
        <v>XCOMCOA</v>
      </c>
      <c r="L17" t="str">
        <f t="shared" si="3"/>
        <v>Commerce Coal</v>
      </c>
      <c r="M17" t="s">
        <v>241</v>
      </c>
      <c r="N17" t="s">
        <v>440</v>
      </c>
      <c r="O17" t="s">
        <v>369</v>
      </c>
      <c r="P17" t="s">
        <v>668</v>
      </c>
      <c r="Q17"/>
      <c r="R17"/>
      <c r="S17" t="str">
        <f t="shared" si="4"/>
        <v>XCOMCOA</v>
      </c>
      <c r="T17" t="str">
        <f t="shared" si="5"/>
        <v>COA</v>
      </c>
      <c r="U17" t="str">
        <f t="shared" si="5"/>
        <v>COMCOA</v>
      </c>
      <c r="V17">
        <v>1</v>
      </c>
      <c r="W17">
        <v>60</v>
      </c>
      <c r="X17"/>
      <c r="Y17">
        <v>1</v>
      </c>
      <c r="Z17">
        <v>1</v>
      </c>
    </row>
    <row r="18" spans="2:26" ht="15" x14ac:dyDescent="0.25">
      <c r="B18" t="s">
        <v>7</v>
      </c>
      <c r="C18" t="s">
        <v>158</v>
      </c>
      <c r="D18" t="str">
        <f t="shared" si="1"/>
        <v>INDCOA</v>
      </c>
      <c r="E18" t="str">
        <f t="shared" si="0"/>
        <v>Industry Coal</v>
      </c>
      <c r="F18" t="s">
        <v>241</v>
      </c>
      <c r="G18"/>
      <c r="H18"/>
      <c r="I18"/>
      <c r="J18"/>
      <c r="K18" t="str">
        <f t="shared" si="2"/>
        <v>XINDCOA</v>
      </c>
      <c r="L18" t="str">
        <f t="shared" si="3"/>
        <v>Industry Coal</v>
      </c>
      <c r="M18" t="s">
        <v>241</v>
      </c>
      <c r="N18" t="s">
        <v>440</v>
      </c>
      <c r="O18" t="s">
        <v>369</v>
      </c>
      <c r="P18" t="s">
        <v>668</v>
      </c>
      <c r="Q18"/>
      <c r="R18"/>
      <c r="S18" t="str">
        <f t="shared" si="4"/>
        <v>XINDCOA</v>
      </c>
      <c r="T18" t="str">
        <f t="shared" si="5"/>
        <v>COA</v>
      </c>
      <c r="U18" t="str">
        <f t="shared" si="5"/>
        <v>INDCOA</v>
      </c>
      <c r="V18">
        <v>1</v>
      </c>
      <c r="W18">
        <v>60</v>
      </c>
      <c r="X18"/>
      <c r="Y18">
        <v>1</v>
      </c>
      <c r="Z18">
        <v>1</v>
      </c>
    </row>
    <row r="19" spans="2:26" ht="15" x14ac:dyDescent="0.25">
      <c r="B19" t="s">
        <v>9</v>
      </c>
      <c r="C19" t="s">
        <v>158</v>
      </c>
      <c r="D19" t="str">
        <f t="shared" si="1"/>
        <v>RESCOA</v>
      </c>
      <c r="E19" t="str">
        <f t="shared" si="0"/>
        <v>Residential Coal</v>
      </c>
      <c r="F19" t="s">
        <v>241</v>
      </c>
      <c r="G19"/>
      <c r="H19"/>
      <c r="I19"/>
      <c r="J19"/>
      <c r="K19" t="str">
        <f t="shared" si="2"/>
        <v>XRESCOA</v>
      </c>
      <c r="L19" t="str">
        <f t="shared" si="3"/>
        <v>Residential Coal</v>
      </c>
      <c r="M19" t="s">
        <v>241</v>
      </c>
      <c r="N19" t="s">
        <v>440</v>
      </c>
      <c r="O19" t="s">
        <v>369</v>
      </c>
      <c r="P19" t="s">
        <v>668</v>
      </c>
      <c r="Q19"/>
      <c r="R19"/>
      <c r="S19" t="str">
        <f t="shared" si="4"/>
        <v>XRESCOA</v>
      </c>
      <c r="T19" t="str">
        <f t="shared" si="5"/>
        <v>COA</v>
      </c>
      <c r="U19" t="str">
        <f t="shared" si="5"/>
        <v>RESCOA</v>
      </c>
      <c r="V19">
        <v>1</v>
      </c>
      <c r="W19">
        <v>60</v>
      </c>
      <c r="X19"/>
      <c r="Y19">
        <v>1</v>
      </c>
      <c r="Z19">
        <v>1</v>
      </c>
    </row>
    <row r="20" spans="2:26" ht="15" x14ac:dyDescent="0.25">
      <c r="B20" t="s">
        <v>7</v>
      </c>
      <c r="C20" t="s">
        <v>160</v>
      </c>
      <c r="D20" t="str">
        <f t="shared" si="1"/>
        <v>INDCOK</v>
      </c>
      <c r="E20" t="str">
        <f t="shared" si="0"/>
        <v>Industry Coal Coking</v>
      </c>
      <c r="F20" t="s">
        <v>241</v>
      </c>
      <c r="G20"/>
      <c r="H20"/>
      <c r="I20"/>
      <c r="J20"/>
      <c r="K20" t="str">
        <f t="shared" si="2"/>
        <v>XINDCOK</v>
      </c>
      <c r="L20" t="str">
        <f t="shared" si="3"/>
        <v>Industry Coal Coking</v>
      </c>
      <c r="M20" t="s">
        <v>241</v>
      </c>
      <c r="N20" t="s">
        <v>440</v>
      </c>
      <c r="O20" t="s">
        <v>369</v>
      </c>
      <c r="P20" t="s">
        <v>668</v>
      </c>
      <c r="Q20"/>
      <c r="R20"/>
      <c r="S20" t="str">
        <f t="shared" si="4"/>
        <v>XINDCOK</v>
      </c>
      <c r="T20" t="str">
        <f t="shared" si="5"/>
        <v>COK</v>
      </c>
      <c r="U20" t="str">
        <f t="shared" si="5"/>
        <v>INDCOK</v>
      </c>
      <c r="V20">
        <v>1</v>
      </c>
      <c r="W20">
        <v>60</v>
      </c>
      <c r="X20"/>
      <c r="Y20">
        <v>1</v>
      </c>
      <c r="Z20">
        <v>1</v>
      </c>
    </row>
    <row r="21" spans="2:26" ht="15" x14ac:dyDescent="0.25">
      <c r="B21" t="s">
        <v>6</v>
      </c>
      <c r="C21" t="s">
        <v>172</v>
      </c>
      <c r="D21" t="str">
        <f t="shared" si="1"/>
        <v>COMGAS</v>
      </c>
      <c r="E21" t="str">
        <f t="shared" si="0"/>
        <v>Commerce Gas South Africa</v>
      </c>
      <c r="F21" t="s">
        <v>241</v>
      </c>
      <c r="G21"/>
      <c r="H21"/>
      <c r="I21"/>
      <c r="J21"/>
      <c r="K21" t="str">
        <f t="shared" si="2"/>
        <v>XCOMGAS</v>
      </c>
      <c r="L21" t="str">
        <f t="shared" si="3"/>
        <v>Commerce Gas South Africa</v>
      </c>
      <c r="M21" t="s">
        <v>241</v>
      </c>
      <c r="N21" t="s">
        <v>440</v>
      </c>
      <c r="O21" t="s">
        <v>369</v>
      </c>
      <c r="P21" t="s">
        <v>668</v>
      </c>
      <c r="Q21"/>
      <c r="R21"/>
      <c r="S21" t="str">
        <f t="shared" si="4"/>
        <v>XCOMGAS</v>
      </c>
      <c r="T21" t="str">
        <f t="shared" si="5"/>
        <v>GAS</v>
      </c>
      <c r="U21" t="str">
        <f t="shared" si="5"/>
        <v>COMGAS</v>
      </c>
      <c r="V21">
        <f>FugitiveEmissions!$O$12</f>
        <v>1</v>
      </c>
      <c r="W21">
        <v>60</v>
      </c>
      <c r="X21"/>
      <c r="Y21" s="82">
        <f>FuelDistribution!$F$96</f>
        <v>403.99806122448985</v>
      </c>
      <c r="Z21">
        <v>1</v>
      </c>
    </row>
    <row r="22" spans="2:26" ht="15" x14ac:dyDescent="0.25">
      <c r="B22" t="s">
        <v>7</v>
      </c>
      <c r="C22" t="s">
        <v>172</v>
      </c>
      <c r="D22" t="str">
        <f t="shared" si="1"/>
        <v>INDGAS</v>
      </c>
      <c r="E22" t="str">
        <f t="shared" si="0"/>
        <v>Industry Gas South Africa</v>
      </c>
      <c r="F22" t="s">
        <v>241</v>
      </c>
      <c r="G22"/>
      <c r="H22"/>
      <c r="I22"/>
      <c r="J22"/>
      <c r="K22" t="str">
        <f t="shared" si="2"/>
        <v>XINDGAS</v>
      </c>
      <c r="L22" t="str">
        <f t="shared" si="3"/>
        <v>Industry Gas South Africa</v>
      </c>
      <c r="M22" t="s">
        <v>241</v>
      </c>
      <c r="N22" t="s">
        <v>440</v>
      </c>
      <c r="O22" t="s">
        <v>369</v>
      </c>
      <c r="P22" t="s">
        <v>668</v>
      </c>
      <c r="Q22"/>
      <c r="R22"/>
      <c r="S22" t="str">
        <f t="shared" si="4"/>
        <v>XINDGAS</v>
      </c>
      <c r="T22" t="str">
        <f t="shared" si="5"/>
        <v>GAS</v>
      </c>
      <c r="U22" t="str">
        <f t="shared" si="5"/>
        <v>INDGAS</v>
      </c>
      <c r="V22">
        <f>FugitiveEmissions!$O$12</f>
        <v>1</v>
      </c>
      <c r="W22">
        <v>60</v>
      </c>
      <c r="X22"/>
      <c r="Y22" s="82">
        <f>FuelDistribution!$F$96</f>
        <v>403.99806122448985</v>
      </c>
      <c r="Z22">
        <v>1</v>
      </c>
    </row>
    <row r="23" spans="2:26" ht="15" x14ac:dyDescent="0.25">
      <c r="B23" t="s">
        <v>9</v>
      </c>
      <c r="C23" t="s">
        <v>172</v>
      </c>
      <c r="D23" t="str">
        <f t="shared" si="1"/>
        <v>RESGAS</v>
      </c>
      <c r="E23" t="str">
        <f t="shared" si="0"/>
        <v>Residential Gas South Africa</v>
      </c>
      <c r="F23" t="s">
        <v>241</v>
      </c>
      <c r="G23"/>
      <c r="H23"/>
      <c r="I23"/>
      <c r="J23"/>
      <c r="K23" t="str">
        <f t="shared" si="2"/>
        <v>XRESGAS</v>
      </c>
      <c r="L23" t="str">
        <f t="shared" si="3"/>
        <v>Residential Gas South Africa</v>
      </c>
      <c r="M23" t="s">
        <v>241</v>
      </c>
      <c r="N23" t="s">
        <v>440</v>
      </c>
      <c r="O23" t="s">
        <v>369</v>
      </c>
      <c r="P23" t="s">
        <v>668</v>
      </c>
      <c r="Q23"/>
      <c r="R23"/>
      <c r="S23" t="str">
        <f t="shared" si="4"/>
        <v>XRESGAS</v>
      </c>
      <c r="T23" t="str">
        <f t="shared" si="5"/>
        <v>GAS</v>
      </c>
      <c r="U23" t="str">
        <f t="shared" si="5"/>
        <v>RESGAS</v>
      </c>
      <c r="V23">
        <f>FugitiveEmissions!$O$12</f>
        <v>1</v>
      </c>
      <c r="W23">
        <v>60</v>
      </c>
      <c r="X23"/>
      <c r="Y23" s="82">
        <f>FuelDistribution!$F$96</f>
        <v>403.99806122448985</v>
      </c>
      <c r="Z23">
        <v>1</v>
      </c>
    </row>
    <row r="24" spans="2:26" ht="15" x14ac:dyDescent="0.25">
      <c r="B24" t="s">
        <v>11</v>
      </c>
      <c r="C24" t="s">
        <v>172</v>
      </c>
      <c r="D24" t="str">
        <f t="shared" si="1"/>
        <v>UPSGAS</v>
      </c>
      <c r="E24" t="str">
        <f t="shared" si="0"/>
        <v>Upstream Gas South Africa</v>
      </c>
      <c r="F24" t="s">
        <v>241</v>
      </c>
      <c r="G24"/>
      <c r="H24"/>
      <c r="I24"/>
      <c r="J24"/>
      <c r="K24" t="str">
        <f t="shared" si="2"/>
        <v>XUPSGAS</v>
      </c>
      <c r="L24" t="str">
        <f t="shared" si="3"/>
        <v>Upstream Gas South Africa</v>
      </c>
      <c r="M24" t="s">
        <v>241</v>
      </c>
      <c r="N24" t="s">
        <v>440</v>
      </c>
      <c r="O24" t="s">
        <v>369</v>
      </c>
      <c r="P24" t="s">
        <v>668</v>
      </c>
      <c r="Q24"/>
      <c r="R24"/>
      <c r="S24" t="str">
        <f t="shared" si="4"/>
        <v>XUPSGAS</v>
      </c>
      <c r="T24" t="str">
        <f t="shared" si="5"/>
        <v>GAS</v>
      </c>
      <c r="U24" t="str">
        <f t="shared" si="5"/>
        <v>UPSGAS</v>
      </c>
      <c r="V24">
        <f>FugitiveEmissions!$O$12</f>
        <v>1</v>
      </c>
      <c r="W24">
        <v>60</v>
      </c>
      <c r="X24"/>
      <c r="Y24" s="82">
        <f>FuelDistribution!$F$96</f>
        <v>403.99806122448985</v>
      </c>
      <c r="Z24">
        <v>1</v>
      </c>
    </row>
    <row r="25" spans="2:26" ht="15" x14ac:dyDescent="0.25">
      <c r="B25" t="s">
        <v>8</v>
      </c>
      <c r="C25" t="s">
        <v>172</v>
      </c>
      <c r="D25" t="str">
        <f t="shared" si="1"/>
        <v>TRAGAS</v>
      </c>
      <c r="E25" t="str">
        <f t="shared" si="0"/>
        <v>Transport Gas South Africa</v>
      </c>
      <c r="F25" t="s">
        <v>241</v>
      </c>
      <c r="G25"/>
      <c r="H25"/>
      <c r="I25"/>
      <c r="J25"/>
      <c r="K25" t="str">
        <f t="shared" si="2"/>
        <v>XTRAGAS</v>
      </c>
      <c r="L25" t="str">
        <f t="shared" si="3"/>
        <v>Transport Gas South Africa</v>
      </c>
      <c r="M25" t="s">
        <v>241</v>
      </c>
      <c r="N25" t="s">
        <v>440</v>
      </c>
      <c r="O25" t="s">
        <v>369</v>
      </c>
      <c r="P25" t="s">
        <v>668</v>
      </c>
      <c r="Q25"/>
      <c r="R25"/>
      <c r="S25" t="str">
        <f t="shared" si="4"/>
        <v>XTRAGAS</v>
      </c>
      <c r="T25" t="str">
        <f t="shared" si="5"/>
        <v>GAS</v>
      </c>
      <c r="U25" t="str">
        <f t="shared" si="5"/>
        <v>TRAGAS</v>
      </c>
      <c r="V25">
        <f>FugitiveEmissions!$O$12</f>
        <v>1</v>
      </c>
      <c r="W25">
        <v>60</v>
      </c>
      <c r="X25"/>
      <c r="Y25" s="82">
        <f>FuelDistribution!$F$96</f>
        <v>403.99806122448985</v>
      </c>
      <c r="Z25">
        <v>1</v>
      </c>
    </row>
    <row r="26" spans="2:26" ht="15" x14ac:dyDescent="0.25">
      <c r="B26" t="s">
        <v>11</v>
      </c>
      <c r="C26" t="s">
        <v>188</v>
      </c>
      <c r="D26" t="str">
        <f t="shared" si="1"/>
        <v>UPSGIC</v>
      </c>
      <c r="E26" t="str">
        <f t="shared" si="0"/>
        <v>Upstream Coastal Gas</v>
      </c>
      <c r="F26" t="s">
        <v>241</v>
      </c>
      <c r="G26"/>
      <c r="H26"/>
      <c r="I26"/>
      <c r="J26"/>
      <c r="K26" t="str">
        <f t="shared" si="2"/>
        <v>XUPSGIC</v>
      </c>
      <c r="L26" t="str">
        <f t="shared" si="3"/>
        <v>Upstream Coastal Gas</v>
      </c>
      <c r="M26" t="s">
        <v>241</v>
      </c>
      <c r="N26" t="s">
        <v>440</v>
      </c>
      <c r="O26" t="s">
        <v>369</v>
      </c>
      <c r="P26" t="s">
        <v>668</v>
      </c>
      <c r="Q26"/>
      <c r="R26"/>
      <c r="S26" t="str">
        <f t="shared" si="4"/>
        <v>XUPSGIC</v>
      </c>
      <c r="T26" t="str">
        <f t="shared" si="5"/>
        <v>GIC</v>
      </c>
      <c r="U26" t="str">
        <f t="shared" si="5"/>
        <v>UPSGIC</v>
      </c>
      <c r="V26">
        <f>FugitiveEmissions!$O$12</f>
        <v>1</v>
      </c>
      <c r="W26">
        <v>60</v>
      </c>
      <c r="X26"/>
      <c r="Y26" s="82">
        <f>FuelDistribution!$F$96</f>
        <v>403.99806122448985</v>
      </c>
      <c r="Z26">
        <v>1</v>
      </c>
    </row>
    <row r="27" spans="2:26" ht="15" x14ac:dyDescent="0.25">
      <c r="B27" t="s">
        <v>11</v>
      </c>
      <c r="C27" t="s">
        <v>194</v>
      </c>
      <c r="D27" t="str">
        <f t="shared" si="1"/>
        <v>UPSHEE</v>
      </c>
      <c r="E27" t="str">
        <f t="shared" si="0"/>
        <v>Upstream Heat-Steam Existing</v>
      </c>
      <c r="F27" t="s">
        <v>241</v>
      </c>
      <c r="G27"/>
      <c r="H27"/>
      <c r="I27"/>
      <c r="J27"/>
      <c r="K27" t="str">
        <f t="shared" si="2"/>
        <v>XUPSHEE</v>
      </c>
      <c r="L27" t="str">
        <f t="shared" si="3"/>
        <v>Upstream Heat-Steam Existing</v>
      </c>
      <c r="M27" t="s">
        <v>241</v>
      </c>
      <c r="N27" t="s">
        <v>440</v>
      </c>
      <c r="O27" t="s">
        <v>369</v>
      </c>
      <c r="P27" t="s">
        <v>668</v>
      </c>
      <c r="Q27"/>
      <c r="R27"/>
      <c r="S27" t="str">
        <f t="shared" si="4"/>
        <v>XUPSHEE</v>
      </c>
      <c r="T27" t="str">
        <f t="shared" si="5"/>
        <v>HEE</v>
      </c>
      <c r="U27" t="str">
        <f t="shared" si="5"/>
        <v>UPSHEE</v>
      </c>
      <c r="V27">
        <v>1</v>
      </c>
      <c r="W27">
        <v>60</v>
      </c>
      <c r="X27"/>
      <c r="Y27">
        <v>1</v>
      </c>
      <c r="Z27">
        <v>1</v>
      </c>
    </row>
    <row r="28" spans="2:26" ht="15" x14ac:dyDescent="0.25">
      <c r="B28" t="s">
        <v>11</v>
      </c>
      <c r="C28" t="s">
        <v>196</v>
      </c>
      <c r="D28" t="str">
        <f t="shared" si="1"/>
        <v>UPSHEN</v>
      </c>
      <c r="E28" t="str">
        <f t="shared" si="0"/>
        <v>Upstream Heat-Steam New</v>
      </c>
      <c r="F28" t="s">
        <v>241</v>
      </c>
      <c r="G28"/>
      <c r="H28"/>
      <c r="I28"/>
      <c r="J28"/>
      <c r="K28" t="str">
        <f t="shared" si="2"/>
        <v>XUPSHEN</v>
      </c>
      <c r="L28" t="str">
        <f t="shared" si="3"/>
        <v>Upstream Heat-Steam New</v>
      </c>
      <c r="M28" t="s">
        <v>241</v>
      </c>
      <c r="N28" t="s">
        <v>440</v>
      </c>
      <c r="O28" t="s">
        <v>369</v>
      </c>
      <c r="P28" t="s">
        <v>668</v>
      </c>
      <c r="Q28"/>
      <c r="R28"/>
      <c r="S28" t="str">
        <f t="shared" si="4"/>
        <v>XUPSHEN</v>
      </c>
      <c r="T28" t="str">
        <f t="shared" si="5"/>
        <v>HEN</v>
      </c>
      <c r="U28" t="str">
        <f t="shared" si="5"/>
        <v>UPSHEN</v>
      </c>
      <c r="V28">
        <v>1</v>
      </c>
      <c r="W28">
        <v>60</v>
      </c>
      <c r="X28"/>
      <c r="Y28">
        <v>1</v>
      </c>
      <c r="Z28">
        <v>1</v>
      </c>
    </row>
    <row r="29" spans="2:26" ht="15" x14ac:dyDescent="0.25">
      <c r="B29" t="s">
        <v>11</v>
      </c>
      <c r="C29" t="s">
        <v>200</v>
      </c>
      <c r="D29" t="str">
        <f t="shared" si="1"/>
        <v>UPSHGN</v>
      </c>
      <c r="E29" t="str">
        <f t="shared" si="0"/>
        <v>Upstream Hydrogen</v>
      </c>
      <c r="F29" t="s">
        <v>241</v>
      </c>
      <c r="G29"/>
      <c r="H29"/>
      <c r="I29"/>
      <c r="J29"/>
      <c r="K29" t="str">
        <f t="shared" si="2"/>
        <v>XUPSHGN</v>
      </c>
      <c r="L29" t="str">
        <f t="shared" si="3"/>
        <v>Upstream Hydrogen</v>
      </c>
      <c r="M29" t="s">
        <v>241</v>
      </c>
      <c r="N29" t="s">
        <v>440</v>
      </c>
      <c r="O29" t="s">
        <v>669</v>
      </c>
      <c r="P29" t="s">
        <v>668</v>
      </c>
      <c r="Q29"/>
      <c r="R29"/>
      <c r="S29" t="str">
        <f t="shared" si="4"/>
        <v>XUPSHGN</v>
      </c>
      <c r="T29" t="str">
        <f t="shared" si="5"/>
        <v>HGN</v>
      </c>
      <c r="U29" t="str">
        <f t="shared" si="5"/>
        <v>UPSHGN</v>
      </c>
      <c r="V29">
        <v>1</v>
      </c>
      <c r="W29">
        <v>60</v>
      </c>
      <c r="X29"/>
      <c r="Y29">
        <v>1</v>
      </c>
      <c r="Z29">
        <v>1</v>
      </c>
    </row>
    <row r="30" spans="2:26" ht="15" x14ac:dyDescent="0.25">
      <c r="B30" t="s">
        <v>8</v>
      </c>
      <c r="C30" t="s">
        <v>200</v>
      </c>
      <c r="D30" t="str">
        <f t="shared" si="1"/>
        <v>TRAHGN</v>
      </c>
      <c r="E30" t="str">
        <f t="shared" si="0"/>
        <v>Transport Hydrogen</v>
      </c>
      <c r="F30" t="s">
        <v>241</v>
      </c>
      <c r="G30"/>
      <c r="H30"/>
      <c r="I30"/>
      <c r="J30"/>
      <c r="K30" t="str">
        <f t="shared" si="2"/>
        <v>XTRAHGN</v>
      </c>
      <c r="L30" t="str">
        <f t="shared" si="3"/>
        <v>Transport Hydrogen</v>
      </c>
      <c r="M30" t="s">
        <v>241</v>
      </c>
      <c r="N30" t="s">
        <v>440</v>
      </c>
      <c r="O30" t="s">
        <v>669</v>
      </c>
      <c r="P30" t="s">
        <v>668</v>
      </c>
      <c r="Q30"/>
      <c r="R30"/>
      <c r="S30" t="str">
        <f t="shared" si="4"/>
        <v>XTRAHGN</v>
      </c>
      <c r="T30" t="str">
        <f t="shared" si="5"/>
        <v>HGN</v>
      </c>
      <c r="U30" t="str">
        <f t="shared" si="5"/>
        <v>TRAHGN</v>
      </c>
      <c r="V30">
        <v>1</v>
      </c>
      <c r="W30">
        <v>60</v>
      </c>
      <c r="X30"/>
      <c r="Y30">
        <v>1</v>
      </c>
      <c r="Z30">
        <v>1</v>
      </c>
    </row>
    <row r="31" spans="2:26" ht="15" x14ac:dyDescent="0.25">
      <c r="B31" t="s">
        <v>8</v>
      </c>
      <c r="C31" t="s">
        <v>204</v>
      </c>
      <c r="D31" t="str">
        <f t="shared" si="1"/>
        <v>TRAOAG</v>
      </c>
      <c r="E31" t="str">
        <f t="shared" si="0"/>
        <v>Transport Oil Av Gasoline</v>
      </c>
      <c r="F31" t="s">
        <v>241</v>
      </c>
      <c r="G31"/>
      <c r="H31"/>
      <c r="I31"/>
      <c r="J31"/>
      <c r="K31" t="str">
        <f t="shared" si="2"/>
        <v>XTRAOAG</v>
      </c>
      <c r="L31" t="str">
        <f t="shared" si="3"/>
        <v>Transport Oil Av Gasoline</v>
      </c>
      <c r="M31" t="s">
        <v>241</v>
      </c>
      <c r="N31" t="s">
        <v>440</v>
      </c>
      <c r="O31" t="s">
        <v>369</v>
      </c>
      <c r="P31" t="s">
        <v>668</v>
      </c>
      <c r="Q31"/>
      <c r="R31"/>
      <c r="S31" t="str">
        <f t="shared" si="4"/>
        <v>XTRAOAG</v>
      </c>
      <c r="T31" t="str">
        <f t="shared" si="5"/>
        <v>OAG</v>
      </c>
      <c r="U31" t="str">
        <f t="shared" si="5"/>
        <v>TRAOAG</v>
      </c>
      <c r="V31">
        <v>1</v>
      </c>
      <c r="W31">
        <v>60</v>
      </c>
      <c r="X31"/>
      <c r="Y31">
        <v>1</v>
      </c>
      <c r="Z31">
        <v>1</v>
      </c>
    </row>
    <row r="32" spans="2:26" ht="15" x14ac:dyDescent="0.25">
      <c r="B32" t="s">
        <v>11</v>
      </c>
      <c r="C32" t="s">
        <v>206</v>
      </c>
      <c r="D32" t="str">
        <f t="shared" si="1"/>
        <v>UPSOCR</v>
      </c>
      <c r="E32" t="str">
        <f t="shared" si="0"/>
        <v>Upstream Oil Crude</v>
      </c>
      <c r="F32" t="s">
        <v>241</v>
      </c>
      <c r="G32"/>
      <c r="H32"/>
      <c r="I32"/>
      <c r="J32"/>
      <c r="K32" t="str">
        <f t="shared" si="2"/>
        <v>XUPSOCR</v>
      </c>
      <c r="L32" t="str">
        <f t="shared" si="3"/>
        <v>Upstream Oil Crude</v>
      </c>
      <c r="M32" t="s">
        <v>241</v>
      </c>
      <c r="N32" t="s">
        <v>440</v>
      </c>
      <c r="O32" t="s">
        <v>369</v>
      </c>
      <c r="P32" t="s">
        <v>668</v>
      </c>
      <c r="Q32"/>
      <c r="R32"/>
      <c r="S32" t="str">
        <f t="shared" si="4"/>
        <v>XUPSOCR</v>
      </c>
      <c r="T32" t="str">
        <f t="shared" si="5"/>
        <v>OCR</v>
      </c>
      <c r="U32" t="str">
        <f t="shared" si="5"/>
        <v>UPSOCR</v>
      </c>
      <c r="V32">
        <v>1</v>
      </c>
      <c r="W32">
        <v>60</v>
      </c>
      <c r="X32"/>
      <c r="Y32">
        <v>1</v>
      </c>
      <c r="Z32">
        <v>1</v>
      </c>
    </row>
    <row r="33" spans="2:31" ht="15" x14ac:dyDescent="0.25">
      <c r="B33" t="s">
        <v>5</v>
      </c>
      <c r="C33" t="s">
        <v>208</v>
      </c>
      <c r="D33" t="str">
        <f t="shared" si="1"/>
        <v>AGRODS</v>
      </c>
      <c r="E33" t="str">
        <f t="shared" si="0"/>
        <v>Agriculture Oil Diesel</v>
      </c>
      <c r="F33" t="s">
        <v>241</v>
      </c>
      <c r="G33"/>
      <c r="H33"/>
      <c r="I33"/>
      <c r="J33"/>
      <c r="K33" t="str">
        <f t="shared" si="2"/>
        <v>XAGRODS</v>
      </c>
      <c r="L33" t="str">
        <f t="shared" si="3"/>
        <v>Agriculture Oil Diesel</v>
      </c>
      <c r="M33" t="s">
        <v>241</v>
      </c>
      <c r="N33" t="s">
        <v>440</v>
      </c>
      <c r="O33" t="s">
        <v>369</v>
      </c>
      <c r="P33" t="s">
        <v>668</v>
      </c>
      <c r="Q33"/>
      <c r="R33"/>
      <c r="S33" t="str">
        <f t="shared" si="4"/>
        <v>XAGRODS</v>
      </c>
      <c r="T33" t="str">
        <f t="shared" si="5"/>
        <v>ODS</v>
      </c>
      <c r="U33" t="str">
        <f t="shared" si="5"/>
        <v>AGRODS</v>
      </c>
      <c r="V33">
        <v>1</v>
      </c>
      <c r="W33">
        <v>60</v>
      </c>
      <c r="X33"/>
      <c r="Y33">
        <v>1</v>
      </c>
      <c r="Z33">
        <v>1</v>
      </c>
    </row>
    <row r="34" spans="2:31" ht="15" x14ac:dyDescent="0.25">
      <c r="B34" t="s">
        <v>6</v>
      </c>
      <c r="C34" t="s">
        <v>208</v>
      </c>
      <c r="D34" t="str">
        <f t="shared" si="1"/>
        <v>COMODS</v>
      </c>
      <c r="E34" t="str">
        <f t="shared" si="0"/>
        <v>Commerce Oil Diesel</v>
      </c>
      <c r="F34" t="s">
        <v>241</v>
      </c>
      <c r="G34"/>
      <c r="H34"/>
      <c r="I34"/>
      <c r="J34"/>
      <c r="K34" t="str">
        <f t="shared" si="2"/>
        <v>XCOMODS</v>
      </c>
      <c r="L34" t="str">
        <f t="shared" si="3"/>
        <v>Commerce Oil Diesel</v>
      </c>
      <c r="M34" t="s">
        <v>241</v>
      </c>
      <c r="N34" t="s">
        <v>440</v>
      </c>
      <c r="O34" t="s">
        <v>369</v>
      </c>
      <c r="P34" t="s">
        <v>668</v>
      </c>
      <c r="Q34"/>
      <c r="R34"/>
      <c r="S34" t="str">
        <f t="shared" si="4"/>
        <v>XCOMODS</v>
      </c>
      <c r="T34" t="str">
        <f t="shared" si="5"/>
        <v>ODS</v>
      </c>
      <c r="U34" t="str">
        <f t="shared" si="5"/>
        <v>COMODS</v>
      </c>
      <c r="V34">
        <v>1</v>
      </c>
      <c r="W34">
        <v>60</v>
      </c>
      <c r="X34"/>
      <c r="Y34">
        <v>1</v>
      </c>
      <c r="Z34">
        <v>1</v>
      </c>
    </row>
    <row r="35" spans="2:31" ht="15" x14ac:dyDescent="0.25">
      <c r="B35" t="s">
        <v>7</v>
      </c>
      <c r="C35" t="s">
        <v>208</v>
      </c>
      <c r="D35" t="str">
        <f t="shared" si="1"/>
        <v>INDODS</v>
      </c>
      <c r="E35" t="str">
        <f t="shared" si="0"/>
        <v>Industry Oil Diesel</v>
      </c>
      <c r="F35" t="s">
        <v>241</v>
      </c>
      <c r="G35"/>
      <c r="H35"/>
      <c r="I35"/>
      <c r="J35"/>
      <c r="K35" t="str">
        <f t="shared" si="2"/>
        <v>XINDODS</v>
      </c>
      <c r="L35" t="str">
        <f t="shared" si="3"/>
        <v>Industry Oil Diesel</v>
      </c>
      <c r="M35" t="s">
        <v>241</v>
      </c>
      <c r="N35" t="s">
        <v>440</v>
      </c>
      <c r="O35" t="s">
        <v>369</v>
      </c>
      <c r="P35" t="s">
        <v>668</v>
      </c>
      <c r="Q35"/>
      <c r="R35"/>
      <c r="S35" t="str">
        <f t="shared" si="4"/>
        <v>XINDODS</v>
      </c>
      <c r="T35" t="str">
        <f t="shared" si="5"/>
        <v>ODS</v>
      </c>
      <c r="U35" t="str">
        <f t="shared" si="5"/>
        <v>INDODS</v>
      </c>
      <c r="V35">
        <v>1</v>
      </c>
      <c r="W35">
        <v>60</v>
      </c>
      <c r="X35"/>
      <c r="Y35">
        <v>1</v>
      </c>
      <c r="Z35">
        <v>1</v>
      </c>
    </row>
    <row r="36" spans="2:31" ht="15" x14ac:dyDescent="0.25">
      <c r="B36" t="s">
        <v>8</v>
      </c>
      <c r="C36" t="s">
        <v>208</v>
      </c>
      <c r="D36" t="str">
        <f t="shared" si="1"/>
        <v>TRAODS</v>
      </c>
      <c r="E36" t="str">
        <f t="shared" si="0"/>
        <v>Transport Oil Diesel</v>
      </c>
      <c r="F36" t="s">
        <v>241</v>
      </c>
      <c r="G36"/>
      <c r="H36"/>
      <c r="I36"/>
      <c r="J36"/>
      <c r="K36" t="str">
        <f t="shared" si="2"/>
        <v>XTRAODS</v>
      </c>
      <c r="L36" t="str">
        <f t="shared" si="3"/>
        <v>Transport Oil Diesel</v>
      </c>
      <c r="M36" t="s">
        <v>241</v>
      </c>
      <c r="N36" t="s">
        <v>440</v>
      </c>
      <c r="O36" t="s">
        <v>369</v>
      </c>
      <c r="P36" t="s">
        <v>668</v>
      </c>
      <c r="Q36"/>
      <c r="R36"/>
      <c r="S36" t="str">
        <f t="shared" si="4"/>
        <v>XTRAODS</v>
      </c>
      <c r="T36" t="str">
        <f t="shared" si="5"/>
        <v>ODS</v>
      </c>
      <c r="U36" t="str">
        <f t="shared" si="5"/>
        <v>TRAODS</v>
      </c>
      <c r="V36">
        <v>1</v>
      </c>
      <c r="W36">
        <v>60</v>
      </c>
      <c r="X36"/>
      <c r="Y36">
        <v>1</v>
      </c>
      <c r="Z36">
        <v>1</v>
      </c>
    </row>
    <row r="37" spans="2:31" ht="15" x14ac:dyDescent="0.25">
      <c r="B37" t="s">
        <v>10</v>
      </c>
      <c r="C37" t="s">
        <v>208</v>
      </c>
      <c r="D37" t="str">
        <f t="shared" ref="D37" si="6">B37&amp;C37</f>
        <v>PWRODS</v>
      </c>
      <c r="E37" t="str">
        <f t="shared" ref="E37" si="7">INDEX(SectorNamesLong,MATCH(B37,SectorNamesShort,0))&amp;" "&amp;INDEX(FuelNamesLong,MATCH(C37,FuelNamesShort,0))</f>
        <v>Power Oil Diesel</v>
      </c>
      <c r="F37" t="s">
        <v>241</v>
      </c>
      <c r="G37"/>
      <c r="H37"/>
      <c r="I37"/>
      <c r="J37"/>
      <c r="K37" t="str">
        <f t="shared" ref="K37" si="8">"X"&amp;D37</f>
        <v>XPWRODS</v>
      </c>
      <c r="L37" t="str">
        <f t="shared" ref="L37" si="9">E37</f>
        <v>Power Oil Diesel</v>
      </c>
      <c r="M37" t="s">
        <v>241</v>
      </c>
      <c r="N37" t="s">
        <v>440</v>
      </c>
      <c r="O37" t="s">
        <v>369</v>
      </c>
      <c r="P37" t="s">
        <v>668</v>
      </c>
      <c r="Q37"/>
      <c r="R37"/>
      <c r="S37" t="str">
        <f t="shared" ref="S37" si="10">K37</f>
        <v>XPWRODS</v>
      </c>
      <c r="T37" t="str">
        <f t="shared" ref="T37" si="11">C37</f>
        <v>ODS</v>
      </c>
      <c r="U37" t="str">
        <f t="shared" ref="U37" si="12">D37</f>
        <v>PWRODS</v>
      </c>
      <c r="V37">
        <v>1</v>
      </c>
      <c r="W37">
        <v>60</v>
      </c>
      <c r="X37"/>
      <c r="Y37">
        <v>1</v>
      </c>
      <c r="Z37">
        <v>1</v>
      </c>
    </row>
    <row r="38" spans="2:31" ht="15" x14ac:dyDescent="0.25">
      <c r="B38" t="s">
        <v>5</v>
      </c>
      <c r="C38" t="s">
        <v>210</v>
      </c>
      <c r="D38" t="str">
        <f t="shared" si="1"/>
        <v>AGROGS</v>
      </c>
      <c r="E38" t="str">
        <f t="shared" si="0"/>
        <v>Agriculture Oil Gasoline</v>
      </c>
      <c r="F38" t="s">
        <v>241</v>
      </c>
      <c r="G38"/>
      <c r="H38"/>
      <c r="I38"/>
      <c r="J38"/>
      <c r="K38" t="str">
        <f t="shared" si="2"/>
        <v>XAGROGS</v>
      </c>
      <c r="L38" t="str">
        <f t="shared" si="3"/>
        <v>Agriculture Oil Gasoline</v>
      </c>
      <c r="M38" t="s">
        <v>241</v>
      </c>
      <c r="N38" t="s">
        <v>440</v>
      </c>
      <c r="O38" t="s">
        <v>369</v>
      </c>
      <c r="P38" t="s">
        <v>668</v>
      </c>
      <c r="Q38"/>
      <c r="R38"/>
      <c r="S38" t="str">
        <f t="shared" si="4"/>
        <v>XAGROGS</v>
      </c>
      <c r="T38" t="str">
        <f t="shared" si="5"/>
        <v>OGS</v>
      </c>
      <c r="U38" t="str">
        <f t="shared" si="5"/>
        <v>AGROGS</v>
      </c>
      <c r="V38">
        <v>1</v>
      </c>
      <c r="W38">
        <v>60</v>
      </c>
      <c r="X38"/>
      <c r="Y38">
        <v>1</v>
      </c>
      <c r="Z38">
        <v>1</v>
      </c>
    </row>
    <row r="39" spans="2:31" ht="15" x14ac:dyDescent="0.25">
      <c r="B39" t="s">
        <v>6</v>
      </c>
      <c r="C39" t="s">
        <v>210</v>
      </c>
      <c r="D39" t="str">
        <f t="shared" si="1"/>
        <v>COMOGS</v>
      </c>
      <c r="E39" t="str">
        <f t="shared" si="0"/>
        <v>Commerce Oil Gasoline</v>
      </c>
      <c r="F39" t="s">
        <v>241</v>
      </c>
      <c r="G39"/>
      <c r="H39"/>
      <c r="I39"/>
      <c r="J39"/>
      <c r="K39" t="str">
        <f t="shared" si="2"/>
        <v>XCOMOGS</v>
      </c>
      <c r="L39" t="str">
        <f t="shared" si="3"/>
        <v>Commerce Oil Gasoline</v>
      </c>
      <c r="M39" t="s">
        <v>241</v>
      </c>
      <c r="N39" t="s">
        <v>440</v>
      </c>
      <c r="O39" t="s">
        <v>369</v>
      </c>
      <c r="P39" t="s">
        <v>668</v>
      </c>
      <c r="Q39"/>
      <c r="R39"/>
      <c r="S39" t="str">
        <f t="shared" si="4"/>
        <v>XCOMOGS</v>
      </c>
      <c r="T39" t="str">
        <f t="shared" si="5"/>
        <v>OGS</v>
      </c>
      <c r="U39" t="str">
        <f t="shared" si="5"/>
        <v>COMOGS</v>
      </c>
      <c r="V39">
        <v>1</v>
      </c>
      <c r="W39">
        <v>60</v>
      </c>
      <c r="X39"/>
      <c r="Y39">
        <v>1</v>
      </c>
      <c r="Z39">
        <v>1</v>
      </c>
    </row>
    <row r="40" spans="2:31" ht="15" x14ac:dyDescent="0.25">
      <c r="B40" t="s">
        <v>7</v>
      </c>
      <c r="C40" t="s">
        <v>210</v>
      </c>
      <c r="D40" t="str">
        <f t="shared" si="1"/>
        <v>INDOGS</v>
      </c>
      <c r="E40" t="str">
        <f t="shared" si="0"/>
        <v>Industry Oil Gasoline</v>
      </c>
      <c r="F40" t="s">
        <v>241</v>
      </c>
      <c r="G40"/>
      <c r="H40"/>
      <c r="I40"/>
      <c r="J40"/>
      <c r="K40" t="str">
        <f t="shared" si="2"/>
        <v>XINDOGS</v>
      </c>
      <c r="L40" t="str">
        <f t="shared" si="3"/>
        <v>Industry Oil Gasoline</v>
      </c>
      <c r="M40" t="s">
        <v>241</v>
      </c>
      <c r="N40" t="s">
        <v>440</v>
      </c>
      <c r="O40" t="s">
        <v>369</v>
      </c>
      <c r="P40" t="s">
        <v>668</v>
      </c>
      <c r="Q40"/>
      <c r="R40"/>
      <c r="S40" t="str">
        <f t="shared" si="4"/>
        <v>XINDOGS</v>
      </c>
      <c r="T40" t="str">
        <f t="shared" si="5"/>
        <v>OGS</v>
      </c>
      <c r="U40" t="str">
        <f t="shared" si="5"/>
        <v>INDOGS</v>
      </c>
      <c r="V40">
        <v>1</v>
      </c>
      <c r="W40">
        <v>60</v>
      </c>
      <c r="X40"/>
      <c r="Y40">
        <v>1</v>
      </c>
      <c r="Z40">
        <v>1</v>
      </c>
    </row>
    <row r="41" spans="2:31" ht="15" x14ac:dyDescent="0.25">
      <c r="B41" t="s">
        <v>8</v>
      </c>
      <c r="C41" t="s">
        <v>210</v>
      </c>
      <c r="D41" t="str">
        <f t="shared" si="1"/>
        <v>TRAOGS</v>
      </c>
      <c r="E41" t="str">
        <f t="shared" si="0"/>
        <v>Transport Oil Gasoline</v>
      </c>
      <c r="F41" t="s">
        <v>241</v>
      </c>
      <c r="G41"/>
      <c r="H41"/>
      <c r="I41"/>
      <c r="J41"/>
      <c r="K41" t="str">
        <f t="shared" si="2"/>
        <v>XTRAOGS</v>
      </c>
      <c r="L41" t="str">
        <f t="shared" si="3"/>
        <v>Transport Oil Gasoline</v>
      </c>
      <c r="M41" t="s">
        <v>241</v>
      </c>
      <c r="N41" t="s">
        <v>440</v>
      </c>
      <c r="O41" t="s">
        <v>369</v>
      </c>
      <c r="P41" t="s">
        <v>668</v>
      </c>
      <c r="Q41"/>
      <c r="R41"/>
      <c r="S41" t="str">
        <f t="shared" si="4"/>
        <v>XTRAOGS</v>
      </c>
      <c r="T41" t="str">
        <f t="shared" si="5"/>
        <v>OGS</v>
      </c>
      <c r="U41" t="str">
        <f t="shared" si="5"/>
        <v>TRAOGS</v>
      </c>
      <c r="V41">
        <v>1</v>
      </c>
      <c r="W41">
        <v>60</v>
      </c>
      <c r="X41"/>
      <c r="Y41">
        <v>1</v>
      </c>
      <c r="Z41">
        <v>1</v>
      </c>
    </row>
    <row r="42" spans="2:31" ht="15" x14ac:dyDescent="0.25">
      <c r="B42" t="s">
        <v>5</v>
      </c>
      <c r="C42" t="s">
        <v>212</v>
      </c>
      <c r="D42" t="str">
        <f t="shared" si="1"/>
        <v>AGROHF</v>
      </c>
      <c r="E42" t="str">
        <f t="shared" si="0"/>
        <v>Agriculture Oil HFO</v>
      </c>
      <c r="F42" t="s">
        <v>241</v>
      </c>
      <c r="G42"/>
      <c r="H42"/>
      <c r="I42"/>
      <c r="J42"/>
      <c r="K42" t="str">
        <f t="shared" si="2"/>
        <v>XAGROHF</v>
      </c>
      <c r="L42" t="str">
        <f t="shared" si="3"/>
        <v>Agriculture Oil HFO</v>
      </c>
      <c r="M42" t="s">
        <v>241</v>
      </c>
      <c r="N42" t="s">
        <v>440</v>
      </c>
      <c r="O42" t="s">
        <v>369</v>
      </c>
      <c r="P42" t="s">
        <v>668</v>
      </c>
      <c r="Q42"/>
      <c r="R42"/>
      <c r="S42" t="str">
        <f t="shared" si="4"/>
        <v>XAGROHF</v>
      </c>
      <c r="T42" t="str">
        <f t="shared" si="5"/>
        <v>OHF</v>
      </c>
      <c r="U42" t="str">
        <f t="shared" si="5"/>
        <v>AGROHF</v>
      </c>
      <c r="V42">
        <v>1</v>
      </c>
      <c r="W42">
        <v>60</v>
      </c>
      <c r="X42"/>
      <c r="Y42">
        <v>1</v>
      </c>
      <c r="Z42">
        <v>1</v>
      </c>
      <c r="AE42"/>
    </row>
    <row r="43" spans="2:31" ht="15" x14ac:dyDescent="0.25">
      <c r="B43" t="s">
        <v>6</v>
      </c>
      <c r="C43" t="s">
        <v>212</v>
      </c>
      <c r="D43" t="str">
        <f t="shared" si="1"/>
        <v>COMOHF</v>
      </c>
      <c r="E43" t="str">
        <f t="shared" si="0"/>
        <v>Commerce Oil HFO</v>
      </c>
      <c r="F43" t="s">
        <v>241</v>
      </c>
      <c r="G43"/>
      <c r="H43"/>
      <c r="I43"/>
      <c r="J43"/>
      <c r="K43" t="str">
        <f t="shared" si="2"/>
        <v>XCOMOHF</v>
      </c>
      <c r="L43" t="str">
        <f t="shared" si="3"/>
        <v>Commerce Oil HFO</v>
      </c>
      <c r="M43" t="s">
        <v>241</v>
      </c>
      <c r="N43" t="s">
        <v>440</v>
      </c>
      <c r="O43" t="s">
        <v>369</v>
      </c>
      <c r="P43" t="s">
        <v>668</v>
      </c>
      <c r="Q43"/>
      <c r="R43"/>
      <c r="S43" t="str">
        <f t="shared" si="4"/>
        <v>XCOMOHF</v>
      </c>
      <c r="T43" t="str">
        <f t="shared" si="5"/>
        <v>OHF</v>
      </c>
      <c r="U43" t="str">
        <f t="shared" si="5"/>
        <v>COMOHF</v>
      </c>
      <c r="V43">
        <v>1</v>
      </c>
      <c r="W43">
        <v>60</v>
      </c>
      <c r="X43"/>
      <c r="Y43">
        <v>1</v>
      </c>
      <c r="Z43">
        <v>1</v>
      </c>
      <c r="AE43"/>
    </row>
    <row r="44" spans="2:31" ht="15" x14ac:dyDescent="0.25">
      <c r="B44" t="s">
        <v>7</v>
      </c>
      <c r="C44" t="s">
        <v>212</v>
      </c>
      <c r="D44" t="str">
        <f t="shared" si="1"/>
        <v>INDOHF</v>
      </c>
      <c r="E44" t="str">
        <f t="shared" si="0"/>
        <v>Industry Oil HFO</v>
      </c>
      <c r="F44" t="s">
        <v>241</v>
      </c>
      <c r="G44"/>
      <c r="H44"/>
      <c r="I44"/>
      <c r="J44"/>
      <c r="K44" t="str">
        <f t="shared" si="2"/>
        <v>XINDOHF</v>
      </c>
      <c r="L44" t="str">
        <f t="shared" si="3"/>
        <v>Industry Oil HFO</v>
      </c>
      <c r="M44" t="s">
        <v>241</v>
      </c>
      <c r="N44" t="s">
        <v>440</v>
      </c>
      <c r="O44" t="s">
        <v>369</v>
      </c>
      <c r="P44" t="s">
        <v>668</v>
      </c>
      <c r="Q44"/>
      <c r="R44"/>
      <c r="S44" t="str">
        <f t="shared" si="4"/>
        <v>XINDOHF</v>
      </c>
      <c r="T44" t="str">
        <f t="shared" si="5"/>
        <v>OHF</v>
      </c>
      <c r="U44" t="str">
        <f t="shared" si="5"/>
        <v>INDOHF</v>
      </c>
      <c r="V44">
        <v>1</v>
      </c>
      <c r="W44">
        <v>60</v>
      </c>
      <c r="X44"/>
      <c r="Y44">
        <v>1</v>
      </c>
      <c r="Z44">
        <v>1</v>
      </c>
      <c r="AE44"/>
    </row>
    <row r="45" spans="2:31" ht="15" x14ac:dyDescent="0.25">
      <c r="B45" t="s">
        <v>8</v>
      </c>
      <c r="C45" t="s">
        <v>212</v>
      </c>
      <c r="D45" t="str">
        <f t="shared" si="1"/>
        <v>TRAOHF</v>
      </c>
      <c r="E45" t="str">
        <f t="shared" si="0"/>
        <v>Transport Oil HFO</v>
      </c>
      <c r="F45" t="s">
        <v>241</v>
      </c>
      <c r="G45"/>
      <c r="H45"/>
      <c r="I45"/>
      <c r="J45"/>
      <c r="K45" t="str">
        <f t="shared" si="2"/>
        <v>XTRAOHF</v>
      </c>
      <c r="L45" t="str">
        <f t="shared" si="3"/>
        <v>Transport Oil HFO</v>
      </c>
      <c r="M45" t="s">
        <v>241</v>
      </c>
      <c r="N45" t="s">
        <v>440</v>
      </c>
      <c r="O45" t="s">
        <v>369</v>
      </c>
      <c r="P45" t="s">
        <v>668</v>
      </c>
      <c r="Q45"/>
      <c r="R45"/>
      <c r="S45" t="str">
        <f t="shared" si="4"/>
        <v>XTRAOHF</v>
      </c>
      <c r="T45" t="str">
        <f t="shared" si="5"/>
        <v>OHF</v>
      </c>
      <c r="U45" t="str">
        <f t="shared" si="5"/>
        <v>TRAOHF</v>
      </c>
      <c r="V45">
        <v>1</v>
      </c>
      <c r="W45">
        <v>60</v>
      </c>
      <c r="X45"/>
      <c r="Y45">
        <v>1</v>
      </c>
      <c r="Z45">
        <v>1</v>
      </c>
      <c r="AE45"/>
    </row>
    <row r="46" spans="2:31" ht="15" x14ac:dyDescent="0.25">
      <c r="B46" t="s">
        <v>10</v>
      </c>
      <c r="C46" t="s">
        <v>212</v>
      </c>
      <c r="D46" t="str">
        <f t="shared" ref="D46" si="13">B46&amp;C46</f>
        <v>PWROHF</v>
      </c>
      <c r="E46" t="str">
        <f t="shared" ref="E46" si="14">INDEX(SectorNamesLong,MATCH(B46,SectorNamesShort,0))&amp;" "&amp;INDEX(FuelNamesLong,MATCH(C46,FuelNamesShort,0))</f>
        <v>Power Oil HFO</v>
      </c>
      <c r="F46" t="s">
        <v>241</v>
      </c>
      <c r="G46"/>
      <c r="H46"/>
      <c r="I46"/>
      <c r="J46"/>
      <c r="K46" t="str">
        <f t="shared" ref="K46" si="15">"X"&amp;D46</f>
        <v>XPWROHF</v>
      </c>
      <c r="L46" t="str">
        <f t="shared" ref="L46" si="16">E46</f>
        <v>Power Oil HFO</v>
      </c>
      <c r="M46" t="s">
        <v>241</v>
      </c>
      <c r="N46" t="s">
        <v>440</v>
      </c>
      <c r="O46" t="s">
        <v>369</v>
      </c>
      <c r="P46" t="s">
        <v>668</v>
      </c>
      <c r="Q46"/>
      <c r="R46"/>
      <c r="S46" t="str">
        <f t="shared" ref="S46" si="17">K46</f>
        <v>XPWROHF</v>
      </c>
      <c r="T46" t="str">
        <f t="shared" ref="T46" si="18">C46</f>
        <v>OHF</v>
      </c>
      <c r="U46" t="str">
        <f t="shared" ref="U46" si="19">D46</f>
        <v>PWROHF</v>
      </c>
      <c r="V46">
        <v>1</v>
      </c>
      <c r="W46">
        <v>60</v>
      </c>
      <c r="X46"/>
      <c r="Y46">
        <v>1</v>
      </c>
      <c r="Z46">
        <v>1</v>
      </c>
      <c r="AE46"/>
    </row>
    <row r="47" spans="2:31" ht="15" x14ac:dyDescent="0.25">
      <c r="B47" t="s">
        <v>5</v>
      </c>
      <c r="C47" t="s">
        <v>214</v>
      </c>
      <c r="D47" t="str">
        <f t="shared" si="1"/>
        <v>AGROKE</v>
      </c>
      <c r="E47" t="str">
        <f t="shared" si="0"/>
        <v>Agriculture Oil Kerosene</v>
      </c>
      <c r="F47" t="s">
        <v>241</v>
      </c>
      <c r="G47"/>
      <c r="H47"/>
      <c r="I47"/>
      <c r="J47"/>
      <c r="K47" t="str">
        <f t="shared" si="2"/>
        <v>XAGROKE</v>
      </c>
      <c r="L47" t="str">
        <f t="shared" si="3"/>
        <v>Agriculture Oil Kerosene</v>
      </c>
      <c r="M47" t="s">
        <v>241</v>
      </c>
      <c r="N47" t="s">
        <v>440</v>
      </c>
      <c r="O47" t="s">
        <v>369</v>
      </c>
      <c r="P47" t="s">
        <v>668</v>
      </c>
      <c r="Q47"/>
      <c r="R47"/>
      <c r="S47" t="str">
        <f t="shared" si="4"/>
        <v>XAGROKE</v>
      </c>
      <c r="T47" t="str">
        <f t="shared" si="5"/>
        <v>OKE</v>
      </c>
      <c r="U47" t="str">
        <f t="shared" si="5"/>
        <v>AGROKE</v>
      </c>
      <c r="V47">
        <v>1</v>
      </c>
      <c r="W47">
        <v>60</v>
      </c>
      <c r="X47"/>
      <c r="Y47">
        <v>1</v>
      </c>
      <c r="Z47">
        <v>1</v>
      </c>
      <c r="AE47"/>
    </row>
    <row r="48" spans="2:31" ht="15" x14ac:dyDescent="0.25">
      <c r="B48" t="s">
        <v>6</v>
      </c>
      <c r="C48" t="s">
        <v>214</v>
      </c>
      <c r="D48" t="str">
        <f t="shared" si="1"/>
        <v>COMOKE</v>
      </c>
      <c r="E48" t="str">
        <f t="shared" si="0"/>
        <v>Commerce Oil Kerosene</v>
      </c>
      <c r="F48" t="s">
        <v>241</v>
      </c>
      <c r="G48"/>
      <c r="H48"/>
      <c r="I48"/>
      <c r="J48"/>
      <c r="K48" t="str">
        <f t="shared" si="2"/>
        <v>XCOMOKE</v>
      </c>
      <c r="L48" t="str">
        <f t="shared" si="3"/>
        <v>Commerce Oil Kerosene</v>
      </c>
      <c r="M48" t="s">
        <v>241</v>
      </c>
      <c r="N48" t="s">
        <v>440</v>
      </c>
      <c r="O48" t="s">
        <v>369</v>
      </c>
      <c r="P48" t="s">
        <v>668</v>
      </c>
      <c r="Q48"/>
      <c r="R48"/>
      <c r="S48" t="str">
        <f t="shared" si="4"/>
        <v>XCOMOKE</v>
      </c>
      <c r="T48" t="str">
        <f t="shared" si="5"/>
        <v>OKE</v>
      </c>
      <c r="U48" t="str">
        <f t="shared" si="5"/>
        <v>COMOKE</v>
      </c>
      <c r="V48">
        <v>1</v>
      </c>
      <c r="W48">
        <v>60</v>
      </c>
      <c r="X48"/>
      <c r="Y48">
        <v>1</v>
      </c>
      <c r="Z48">
        <v>1</v>
      </c>
      <c r="AE48"/>
    </row>
    <row r="49" spans="2:31" ht="15" x14ac:dyDescent="0.25">
      <c r="B49" t="s">
        <v>9</v>
      </c>
      <c r="C49" t="s">
        <v>214</v>
      </c>
      <c r="D49" t="str">
        <f t="shared" si="1"/>
        <v>RESOKE</v>
      </c>
      <c r="E49" t="str">
        <f t="shared" si="0"/>
        <v>Residential Oil Kerosene</v>
      </c>
      <c r="F49" t="s">
        <v>241</v>
      </c>
      <c r="G49"/>
      <c r="H49"/>
      <c r="I49"/>
      <c r="J49"/>
      <c r="K49" t="str">
        <f t="shared" si="2"/>
        <v>XRESOKE</v>
      </c>
      <c r="L49" t="str">
        <f t="shared" si="3"/>
        <v>Residential Oil Kerosene</v>
      </c>
      <c r="M49" t="s">
        <v>241</v>
      </c>
      <c r="N49" t="s">
        <v>440</v>
      </c>
      <c r="O49" t="s">
        <v>369</v>
      </c>
      <c r="P49" t="s">
        <v>668</v>
      </c>
      <c r="Q49"/>
      <c r="R49"/>
      <c r="S49" t="str">
        <f t="shared" si="4"/>
        <v>XRESOKE</v>
      </c>
      <c r="T49" t="str">
        <f t="shared" si="5"/>
        <v>OKE</v>
      </c>
      <c r="U49" t="str">
        <f t="shared" si="5"/>
        <v>RESOKE</v>
      </c>
      <c r="V49">
        <v>1</v>
      </c>
      <c r="W49">
        <v>60</v>
      </c>
      <c r="X49"/>
      <c r="Y49">
        <v>1</v>
      </c>
      <c r="Z49">
        <v>1</v>
      </c>
      <c r="AE49"/>
    </row>
    <row r="50" spans="2:31" ht="15" x14ac:dyDescent="0.25">
      <c r="B50" t="s">
        <v>8</v>
      </c>
      <c r="C50" t="s">
        <v>214</v>
      </c>
      <c r="D50" t="str">
        <f t="shared" si="1"/>
        <v>TRAOKE</v>
      </c>
      <c r="E50" t="str">
        <f t="shared" si="0"/>
        <v>Transport Oil Kerosene</v>
      </c>
      <c r="F50" t="s">
        <v>241</v>
      </c>
      <c r="G50"/>
      <c r="H50"/>
      <c r="I50"/>
      <c r="J50"/>
      <c r="K50" t="str">
        <f t="shared" si="2"/>
        <v>XTRAOKE</v>
      </c>
      <c r="L50" t="str">
        <f t="shared" si="3"/>
        <v>Transport Oil Kerosene</v>
      </c>
      <c r="M50" t="s">
        <v>241</v>
      </c>
      <c r="N50" t="s">
        <v>440</v>
      </c>
      <c r="O50" t="s">
        <v>369</v>
      </c>
      <c r="P50" t="s">
        <v>668</v>
      </c>
      <c r="Q50"/>
      <c r="R50"/>
      <c r="S50" t="str">
        <f t="shared" si="4"/>
        <v>XTRAOKE</v>
      </c>
      <c r="T50" t="str">
        <f t="shared" si="5"/>
        <v>OKE</v>
      </c>
      <c r="U50" t="str">
        <f t="shared" si="5"/>
        <v>TRAOKE</v>
      </c>
      <c r="V50">
        <v>1</v>
      </c>
      <c r="W50">
        <v>60</v>
      </c>
      <c r="X50"/>
      <c r="Y50">
        <v>1</v>
      </c>
      <c r="Z50">
        <v>1</v>
      </c>
      <c r="AE50"/>
    </row>
    <row r="51" spans="2:31" ht="15" x14ac:dyDescent="0.25">
      <c r="B51" t="s">
        <v>10</v>
      </c>
      <c r="C51" t="s">
        <v>214</v>
      </c>
      <c r="D51" t="str">
        <f t="shared" ref="D51" si="20">B51&amp;C51</f>
        <v>PWROKE</v>
      </c>
      <c r="E51" t="str">
        <f t="shared" ref="E51" si="21">INDEX(SectorNamesLong,MATCH(B51,SectorNamesShort,0))&amp;" "&amp;INDEX(FuelNamesLong,MATCH(C51,FuelNamesShort,0))</f>
        <v>Power Oil Kerosene</v>
      </c>
      <c r="F51" t="s">
        <v>241</v>
      </c>
      <c r="G51"/>
      <c r="H51"/>
      <c r="I51"/>
      <c r="J51"/>
      <c r="K51" t="str">
        <f t="shared" ref="K51" si="22">"X"&amp;D51</f>
        <v>XPWROKE</v>
      </c>
      <c r="L51" t="str">
        <f t="shared" ref="L51" si="23">E51</f>
        <v>Power Oil Kerosene</v>
      </c>
      <c r="M51" t="s">
        <v>241</v>
      </c>
      <c r="N51" t="s">
        <v>440</v>
      </c>
      <c r="O51" t="s">
        <v>369</v>
      </c>
      <c r="P51" t="s">
        <v>668</v>
      </c>
      <c r="Q51"/>
      <c r="R51"/>
      <c r="S51" t="str">
        <f t="shared" ref="S51" si="24">K51</f>
        <v>XPWROKE</v>
      </c>
      <c r="T51" t="str">
        <f t="shared" ref="T51" si="25">C51</f>
        <v>OKE</v>
      </c>
      <c r="U51" t="str">
        <f t="shared" ref="U51" si="26">D51</f>
        <v>PWROKE</v>
      </c>
      <c r="V51">
        <v>1</v>
      </c>
      <c r="W51">
        <v>60</v>
      </c>
      <c r="X51"/>
      <c r="Y51">
        <v>1</v>
      </c>
      <c r="Z51">
        <v>1</v>
      </c>
      <c r="AE51"/>
    </row>
    <row r="52" spans="2:31" ht="15" x14ac:dyDescent="0.25">
      <c r="B52" t="s">
        <v>5</v>
      </c>
      <c r="C52" t="s">
        <v>216</v>
      </c>
      <c r="D52" t="str">
        <f t="shared" si="1"/>
        <v>AGROLP</v>
      </c>
      <c r="E52" t="str">
        <f t="shared" si="0"/>
        <v>Agriculture Oil LPG</v>
      </c>
      <c r="F52" t="s">
        <v>241</v>
      </c>
      <c r="G52"/>
      <c r="H52"/>
      <c r="I52"/>
      <c r="J52"/>
      <c r="K52" t="str">
        <f t="shared" si="2"/>
        <v>XAGROLP</v>
      </c>
      <c r="L52" t="str">
        <f t="shared" si="3"/>
        <v>Agriculture Oil LPG</v>
      </c>
      <c r="M52" t="s">
        <v>241</v>
      </c>
      <c r="N52" t="s">
        <v>440</v>
      </c>
      <c r="O52" t="s">
        <v>369</v>
      </c>
      <c r="P52" t="s">
        <v>668</v>
      </c>
      <c r="Q52"/>
      <c r="R52"/>
      <c r="S52" t="str">
        <f t="shared" si="4"/>
        <v>XAGROLP</v>
      </c>
      <c r="T52" t="str">
        <f t="shared" si="5"/>
        <v>OLP</v>
      </c>
      <c r="U52" t="str">
        <f t="shared" si="5"/>
        <v>AGROLP</v>
      </c>
      <c r="V52">
        <v>1</v>
      </c>
      <c r="W52">
        <v>60</v>
      </c>
      <c r="X52"/>
      <c r="Y52">
        <v>1</v>
      </c>
      <c r="Z52">
        <v>1</v>
      </c>
      <c r="AE52"/>
    </row>
    <row r="53" spans="2:31" ht="15" x14ac:dyDescent="0.25">
      <c r="B53" t="s">
        <v>6</v>
      </c>
      <c r="C53" t="s">
        <v>216</v>
      </c>
      <c r="D53" t="str">
        <f t="shared" si="1"/>
        <v>COMOLP</v>
      </c>
      <c r="E53" t="str">
        <f t="shared" si="0"/>
        <v>Commerce Oil LPG</v>
      </c>
      <c r="F53" t="s">
        <v>241</v>
      </c>
      <c r="G53"/>
      <c r="H53"/>
      <c r="I53"/>
      <c r="J53"/>
      <c r="K53" t="str">
        <f t="shared" si="2"/>
        <v>XCOMOLP</v>
      </c>
      <c r="L53" t="str">
        <f t="shared" si="3"/>
        <v>Commerce Oil LPG</v>
      </c>
      <c r="M53" t="s">
        <v>241</v>
      </c>
      <c r="N53" t="s">
        <v>440</v>
      </c>
      <c r="O53" t="s">
        <v>369</v>
      </c>
      <c r="P53" t="s">
        <v>668</v>
      </c>
      <c r="Q53"/>
      <c r="R53"/>
      <c r="S53" t="str">
        <f t="shared" si="4"/>
        <v>XCOMOLP</v>
      </c>
      <c r="T53" t="str">
        <f t="shared" si="5"/>
        <v>OLP</v>
      </c>
      <c r="U53" t="str">
        <f t="shared" si="5"/>
        <v>COMOLP</v>
      </c>
      <c r="V53">
        <v>1</v>
      </c>
      <c r="W53">
        <v>60</v>
      </c>
      <c r="X53"/>
      <c r="Y53">
        <v>1</v>
      </c>
      <c r="Z53">
        <v>1</v>
      </c>
      <c r="AE53"/>
    </row>
    <row r="54" spans="2:31" ht="15" x14ac:dyDescent="0.25">
      <c r="B54" t="s">
        <v>7</v>
      </c>
      <c r="C54" t="s">
        <v>216</v>
      </c>
      <c r="D54" t="str">
        <f t="shared" si="1"/>
        <v>INDOLP</v>
      </c>
      <c r="E54" t="str">
        <f t="shared" si="0"/>
        <v>Industry Oil LPG</v>
      </c>
      <c r="F54" t="s">
        <v>241</v>
      </c>
      <c r="G54"/>
      <c r="H54"/>
      <c r="I54"/>
      <c r="J54"/>
      <c r="K54" t="str">
        <f t="shared" si="2"/>
        <v>XINDOLP</v>
      </c>
      <c r="L54" t="str">
        <f t="shared" si="3"/>
        <v>Industry Oil LPG</v>
      </c>
      <c r="M54" t="s">
        <v>241</v>
      </c>
      <c r="N54" t="s">
        <v>440</v>
      </c>
      <c r="O54" t="s">
        <v>369</v>
      </c>
      <c r="P54" t="s">
        <v>668</v>
      </c>
      <c r="Q54"/>
      <c r="R54"/>
      <c r="S54" t="str">
        <f t="shared" si="4"/>
        <v>XINDOLP</v>
      </c>
      <c r="T54" t="str">
        <f t="shared" si="5"/>
        <v>OLP</v>
      </c>
      <c r="U54" t="str">
        <f t="shared" si="5"/>
        <v>INDOLP</v>
      </c>
      <c r="V54">
        <v>1</v>
      </c>
      <c r="W54">
        <v>60</v>
      </c>
      <c r="X54"/>
      <c r="Y54">
        <v>1</v>
      </c>
      <c r="Z54">
        <v>1</v>
      </c>
      <c r="AE54"/>
    </row>
    <row r="55" spans="2:31" ht="15" x14ac:dyDescent="0.25">
      <c r="B55" t="s">
        <v>9</v>
      </c>
      <c r="C55" t="s">
        <v>216</v>
      </c>
      <c r="D55" t="str">
        <f t="shared" si="1"/>
        <v>RESOLP</v>
      </c>
      <c r="E55" t="str">
        <f t="shared" si="0"/>
        <v>Residential Oil LPG</v>
      </c>
      <c r="F55" t="s">
        <v>241</v>
      </c>
      <c r="G55"/>
      <c r="H55"/>
      <c r="I55"/>
      <c r="J55"/>
      <c r="K55" t="str">
        <f t="shared" si="2"/>
        <v>XRESOLP</v>
      </c>
      <c r="L55" t="str">
        <f t="shared" si="3"/>
        <v>Residential Oil LPG</v>
      </c>
      <c r="M55" t="s">
        <v>241</v>
      </c>
      <c r="N55" t="s">
        <v>440</v>
      </c>
      <c r="O55" t="s">
        <v>369</v>
      </c>
      <c r="P55" t="s">
        <v>668</v>
      </c>
      <c r="Q55"/>
      <c r="R55"/>
      <c r="S55" t="str">
        <f t="shared" si="4"/>
        <v>XRESOLP</v>
      </c>
      <c r="T55" t="str">
        <f t="shared" si="5"/>
        <v>OLP</v>
      </c>
      <c r="U55" t="str">
        <f t="shared" si="5"/>
        <v>RESOLP</v>
      </c>
      <c r="V55">
        <v>1</v>
      </c>
      <c r="W55">
        <v>60</v>
      </c>
      <c r="X55"/>
      <c r="Y55">
        <v>1</v>
      </c>
      <c r="Z55">
        <v>1</v>
      </c>
      <c r="AE55"/>
    </row>
    <row r="56" spans="2:31" ht="15" x14ac:dyDescent="0.25">
      <c r="B56" t="s">
        <v>7</v>
      </c>
      <c r="C56" t="s">
        <v>224</v>
      </c>
      <c r="D56" t="str">
        <f t="shared" si="1"/>
        <v>INDWAS</v>
      </c>
      <c r="E56" t="str">
        <f t="shared" si="0"/>
        <v>Industry Waste</v>
      </c>
      <c r="F56" t="s">
        <v>241</v>
      </c>
      <c r="G56"/>
      <c r="H56"/>
      <c r="I56"/>
      <c r="J56"/>
      <c r="K56" t="str">
        <f t="shared" si="2"/>
        <v>XINDWAS</v>
      </c>
      <c r="L56" t="str">
        <f t="shared" si="3"/>
        <v>Industry Waste</v>
      </c>
      <c r="M56" t="s">
        <v>241</v>
      </c>
      <c r="N56" t="s">
        <v>440</v>
      </c>
      <c r="O56" t="s">
        <v>369</v>
      </c>
      <c r="P56" t="s">
        <v>668</v>
      </c>
      <c r="Q56"/>
      <c r="R56"/>
      <c r="S56" t="str">
        <f t="shared" si="4"/>
        <v>XINDWAS</v>
      </c>
      <c r="T56" t="str">
        <f t="shared" si="5"/>
        <v>WAS</v>
      </c>
      <c r="U56" t="str">
        <f t="shared" si="5"/>
        <v>INDWAS</v>
      </c>
      <c r="V56">
        <v>1</v>
      </c>
      <c r="W56">
        <v>60</v>
      </c>
      <c r="X56"/>
      <c r="Y56">
        <v>1</v>
      </c>
      <c r="Z56">
        <v>1</v>
      </c>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sheetData>
  <autoFilter ref="B8:AA56" xr:uid="{00000000-0001-0000-2200-000000000000}"/>
  <pageMargins left="0.7" right="0.7" top="0.75" bottom="0.75" header="0.3" footer="0.3"/>
  <pageSetup paperSize="9"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670</v>
      </c>
      <c r="W1" s="296">
        <v>40909</v>
      </c>
      <c r="AS1" t="s">
        <v>671</v>
      </c>
      <c r="AU1" t="s">
        <v>672</v>
      </c>
      <c r="AV1" t="s">
        <v>673</v>
      </c>
    </row>
    <row r="2" spans="4:49" ht="18" thickBot="1" x14ac:dyDescent="0.35">
      <c r="D2" s="297" t="s">
        <v>1049</v>
      </c>
      <c r="E2" s="297"/>
      <c r="F2" s="297"/>
      <c r="G2" s="297"/>
      <c r="H2" s="297"/>
      <c r="U2" t="s">
        <v>674</v>
      </c>
      <c r="V2" t="s">
        <v>246</v>
      </c>
      <c r="W2" s="82">
        <f>SUMIF($C$27:$C$110,$W$1,$J$27:$J$110)</f>
        <v>8.2121999999999993</v>
      </c>
      <c r="AS2" t="s">
        <v>675</v>
      </c>
      <c r="AT2" t="s">
        <v>676</v>
      </c>
      <c r="AU2">
        <v>661</v>
      </c>
    </row>
    <row r="3" spans="4:49" ht="15.75" thickTop="1" x14ac:dyDescent="0.25">
      <c r="D3" s="298" t="s">
        <v>677</v>
      </c>
      <c r="V3" t="s">
        <v>678</v>
      </c>
      <c r="W3">
        <f>SUMIF($C$27:$C$110,$W$1,$K$27:$K$110)</f>
        <v>107.96</v>
      </c>
      <c r="AS3" t="s">
        <v>679</v>
      </c>
      <c r="AT3" t="s">
        <v>255</v>
      </c>
      <c r="AU3">
        <f>AU2*W7+W8*1.3</f>
        <v>140.47035923202716</v>
      </c>
      <c r="AV3">
        <v>152.27714285714299</v>
      </c>
      <c r="AW3">
        <f>AV3/AU3</f>
        <v>1.0840517792484146</v>
      </c>
    </row>
    <row r="4" spans="4:49" x14ac:dyDescent="0.25">
      <c r="V4" t="s">
        <v>676</v>
      </c>
      <c r="W4">
        <f>W3*W2</f>
        <v>886.58911199999989</v>
      </c>
      <c r="AS4" t="s">
        <v>488</v>
      </c>
      <c r="AT4" t="s">
        <v>255</v>
      </c>
      <c r="AU4">
        <f>AU2*X7+X8*1.3</f>
        <v>130.60568568627889</v>
      </c>
      <c r="AV4">
        <v>144.90263157894699</v>
      </c>
      <c r="AW4">
        <f>AV4/AU4</f>
        <v>1.1094664892844714</v>
      </c>
    </row>
    <row r="5" spans="4:49" ht="18" thickBot="1" x14ac:dyDescent="0.35">
      <c r="U5" s="298" t="s">
        <v>680</v>
      </c>
      <c r="AB5" s="297" t="s">
        <v>681</v>
      </c>
      <c r="AC5" s="297"/>
      <c r="AD5" s="297"/>
      <c r="AF5" s="297" t="s">
        <v>682</v>
      </c>
      <c r="AG5" s="297"/>
      <c r="AH5" s="297"/>
      <c r="AI5" s="297"/>
      <c r="AJ5" s="297"/>
      <c r="AN5" t="s">
        <v>683</v>
      </c>
      <c r="AO5" t="s">
        <v>684</v>
      </c>
    </row>
    <row r="6" spans="4:49" ht="16.5" thickTop="1" thickBot="1" x14ac:dyDescent="0.3">
      <c r="D6" s="299" t="s">
        <v>485</v>
      </c>
      <c r="H6" s="299" t="s">
        <v>488</v>
      </c>
      <c r="L6" s="299" t="s">
        <v>685</v>
      </c>
      <c r="P6" s="299" t="s">
        <v>491</v>
      </c>
      <c r="V6" t="s">
        <v>686</v>
      </c>
      <c r="W6" t="s">
        <v>485</v>
      </c>
      <c r="X6" t="s">
        <v>488</v>
      </c>
      <c r="Y6" t="s">
        <v>685</v>
      </c>
      <c r="Z6" t="s">
        <v>491</v>
      </c>
      <c r="AB6" t="s">
        <v>687</v>
      </c>
      <c r="AC6">
        <v>45</v>
      </c>
      <c r="AD6" t="s">
        <v>688</v>
      </c>
      <c r="AM6" t="s">
        <v>689</v>
      </c>
      <c r="AN6" t="s">
        <v>690</v>
      </c>
      <c r="AO6" t="s">
        <v>691</v>
      </c>
      <c r="AP6" t="s">
        <v>692</v>
      </c>
    </row>
    <row r="7" spans="4:49" x14ac:dyDescent="0.25">
      <c r="D7" t="s">
        <v>693</v>
      </c>
      <c r="E7">
        <f t="array" ref="E7:F9">LINEST(M75:M110,$L$75:$L$110,TRUE,TRUE)</f>
        <v>0.69131118046539197</v>
      </c>
      <c r="F7">
        <v>18.039952527622177</v>
      </c>
      <c r="H7" t="s">
        <v>693</v>
      </c>
      <c r="I7">
        <f t="array" ref="I7:J9">LINEST(N75:N110,$L$75:$L$110,TRUE,TRUE)</f>
        <v>0.76576896825557872</v>
      </c>
      <c r="J7">
        <v>-6.588942732473015</v>
      </c>
      <c r="L7" t="s">
        <v>693</v>
      </c>
      <c r="M7">
        <f t="array" ref="M7:N9">LINEST(H27:H110,$L$27:$L$110,TRUE,TRUE)</f>
        <v>0.71824017800423035</v>
      </c>
      <c r="N7">
        <v>47.381796282440177</v>
      </c>
      <c r="P7" t="s">
        <v>693</v>
      </c>
      <c r="Q7">
        <f t="array" ref="Q7:R9">LINEST(I101:I110,$L$101:$L$110,TRUE,TRUE)</f>
        <v>0.77267955265970056</v>
      </c>
      <c r="R7">
        <v>814.37721538925723</v>
      </c>
      <c r="U7" t="s">
        <v>694</v>
      </c>
      <c r="V7" s="258">
        <f>1/AC7*1/AC14*1000</f>
        <v>0.16533892382948986</v>
      </c>
      <c r="W7" s="300">
        <f>1/AC8/100*E7*1000</f>
        <v>0.20213777206590408</v>
      </c>
      <c r="X7" s="300">
        <f>1/AC9/100*I7*1000</f>
        <v>0.20098923051327525</v>
      </c>
      <c r="Y7" s="300">
        <f>1/AC10/100*M7*1000</f>
        <v>0.19411896702817036</v>
      </c>
      <c r="Z7" s="300">
        <f>1/AC11/100*Q7*1000</f>
        <v>0.16797381579558707</v>
      </c>
      <c r="AB7" t="s">
        <v>687</v>
      </c>
      <c r="AC7" s="57">
        <f>AC6/AC15*1000</f>
        <v>38.03888419273035</v>
      </c>
      <c r="AD7" t="s">
        <v>690</v>
      </c>
      <c r="AF7" t="s">
        <v>695</v>
      </c>
      <c r="AI7">
        <v>200</v>
      </c>
      <c r="AJ7" t="s">
        <v>255</v>
      </c>
      <c r="AL7" t="s">
        <v>687</v>
      </c>
      <c r="AM7">
        <v>1</v>
      </c>
      <c r="AN7">
        <v>38.5</v>
      </c>
      <c r="AP7">
        <v>6.15</v>
      </c>
    </row>
    <row r="8" spans="4:49" x14ac:dyDescent="0.25">
      <c r="D8" t="s">
        <v>696</v>
      </c>
      <c r="E8">
        <v>2.1689295799937405E-2</v>
      </c>
      <c r="F8">
        <v>16.805407207022476</v>
      </c>
      <c r="H8" t="s">
        <v>696</v>
      </c>
      <c r="I8">
        <v>1.88945947014778E-2</v>
      </c>
      <c r="J8">
        <v>14.640003110239293</v>
      </c>
      <c r="L8" t="s">
        <v>696</v>
      </c>
      <c r="M8">
        <v>2.0929526528181964E-2</v>
      </c>
      <c r="N8">
        <v>14.002957365912605</v>
      </c>
      <c r="P8" t="s">
        <v>696</v>
      </c>
      <c r="Q8">
        <v>0.17222197251198301</v>
      </c>
      <c r="R8">
        <v>158.56449471815961</v>
      </c>
      <c r="U8" t="s">
        <v>697</v>
      </c>
      <c r="V8">
        <v>0</v>
      </c>
      <c r="W8" s="258">
        <f>1/AC8/100*1000*F7</f>
        <v>5.274839920357361</v>
      </c>
      <c r="X8" s="258">
        <f>1/AC9/100*1000*J7</f>
        <v>-1.7293812946123399</v>
      </c>
      <c r="Y8" s="258">
        <f>1/AC10/100*1000*N7</f>
        <v>12.805890887145994</v>
      </c>
      <c r="Z8" s="258">
        <f>1/AC11/100*1000*R7</f>
        <v>177.03852508462114</v>
      </c>
      <c r="AB8" t="s">
        <v>485</v>
      </c>
      <c r="AC8">
        <v>34.200000000000003</v>
      </c>
      <c r="AD8" t="s">
        <v>690</v>
      </c>
      <c r="AI8" s="57">
        <f>AI7/AC9*100</f>
        <v>524.93438320209975</v>
      </c>
      <c r="AJ8" t="s">
        <v>698</v>
      </c>
      <c r="AL8" t="s">
        <v>485</v>
      </c>
      <c r="AM8">
        <v>1</v>
      </c>
      <c r="AN8">
        <v>32.1</v>
      </c>
      <c r="AO8">
        <v>0.745</v>
      </c>
    </row>
    <row r="9" spans="4:49" x14ac:dyDescent="0.25">
      <c r="D9" t="s">
        <v>699</v>
      </c>
      <c r="E9">
        <v>0.96761634565975629</v>
      </c>
      <c r="F9">
        <v>19.266650663456474</v>
      </c>
      <c r="H9" t="s">
        <v>699</v>
      </c>
      <c r="I9">
        <v>0.97972033969162609</v>
      </c>
      <c r="J9">
        <v>16.784111337631305</v>
      </c>
      <c r="L9" t="s">
        <v>699</v>
      </c>
      <c r="M9">
        <v>0.93490316152328135</v>
      </c>
      <c r="N9">
        <v>36.92368042685311</v>
      </c>
      <c r="P9" t="s">
        <v>699</v>
      </c>
      <c r="Q9">
        <v>0.71559577988177048</v>
      </c>
      <c r="R9">
        <v>28.81393096261419</v>
      </c>
      <c r="U9" t="s">
        <v>673</v>
      </c>
      <c r="V9" s="82">
        <f>W4*V7</f>
        <v>146.58768965702305</v>
      </c>
      <c r="W9" s="57">
        <f>$W$4*W7+W8</f>
        <v>184.48798775792562</v>
      </c>
      <c r="X9" s="57">
        <f>$W$4*X7+X8</f>
        <v>176.46548210771562</v>
      </c>
      <c r="Y9" s="57">
        <f>$W$4*Y7+Y8</f>
        <v>184.90965348700882</v>
      </c>
      <c r="Z9" s="57">
        <f>$W$4*Z7+Z8</f>
        <v>325.96228127008226</v>
      </c>
      <c r="AB9" t="s">
        <v>488</v>
      </c>
      <c r="AC9">
        <v>38.1</v>
      </c>
      <c r="AD9" t="s">
        <v>690</v>
      </c>
      <c r="AL9" t="s">
        <v>488</v>
      </c>
      <c r="AM9">
        <v>1</v>
      </c>
      <c r="AN9">
        <v>35.799999999999997</v>
      </c>
      <c r="AO9">
        <v>0.83699999999999997</v>
      </c>
    </row>
    <row r="10" spans="4:49" x14ac:dyDescent="0.25">
      <c r="U10" t="s">
        <v>700</v>
      </c>
      <c r="W10" s="82">
        <f>W9*100*AC8/1000</f>
        <v>630.94891813210575</v>
      </c>
      <c r="X10" s="82">
        <f>X9*100*AC9/1000</f>
        <v>672.33348683039662</v>
      </c>
      <c r="Y10" s="82">
        <f>Y9*100*AC10/1000</f>
        <v>684.16571790193268</v>
      </c>
      <c r="Z10" s="82">
        <f>Z9*100*AC11/1000</f>
        <v>1499.4264938423782</v>
      </c>
      <c r="AB10" t="s">
        <v>685</v>
      </c>
      <c r="AC10">
        <v>37</v>
      </c>
      <c r="AD10" t="s">
        <v>690</v>
      </c>
    </row>
    <row r="11" spans="4:49" x14ac:dyDescent="0.25">
      <c r="D11" s="298" t="s">
        <v>701</v>
      </c>
      <c r="U11" t="s">
        <v>702</v>
      </c>
      <c r="W11" s="82">
        <f>SUMIF($C$27:$C$110,$W$1,$M$27:$M$110)</f>
        <v>594.54999999999995</v>
      </c>
      <c r="X11" s="82">
        <f>SUMIF($C$27:$C$110,$W$1,$N$27:$N$110)</f>
        <v>678.07899999999995</v>
      </c>
      <c r="Y11" s="82">
        <f>SUMIF($C$27:$C$110,$W$1,$H$27:$H$110)</f>
        <v>669.12800000000004</v>
      </c>
      <c r="Z11" s="82">
        <f>SUMIF($C$27:$C$110,$W$1,$I$27:$I$110)</f>
        <v>0</v>
      </c>
      <c r="AB11" t="s">
        <v>491</v>
      </c>
      <c r="AC11">
        <v>46</v>
      </c>
      <c r="AD11" t="s">
        <v>703</v>
      </c>
      <c r="AF11" s="301" t="s">
        <v>704</v>
      </c>
    </row>
    <row r="12" spans="4:49" x14ac:dyDescent="0.25">
      <c r="D12" t="s">
        <v>693</v>
      </c>
      <c r="E12">
        <f t="array" ref="E12:F14">LINEST($Z$75:$Z$110,$L$75:$L$110,1,1)</f>
        <v>0.93691765795315396</v>
      </c>
      <c r="F12">
        <v>265.34488871773931</v>
      </c>
      <c r="H12" t="s">
        <v>693</v>
      </c>
      <c r="I12">
        <f t="array" ref="I12:J14">LINEST($AA$75:$AA$110,$L$75:$L$110,1,1)</f>
        <v>0.96018863587643721</v>
      </c>
      <c r="J12">
        <v>173.46397553035843</v>
      </c>
      <c r="L12" t="s">
        <v>693</v>
      </c>
      <c r="M12">
        <f t="array" ref="M12:N14">LINEST($AB$75:$AB$110,$L$75:$L$110,1,1)</f>
        <v>0.80597468921050219</v>
      </c>
      <c r="N12">
        <v>51.88943126981917</v>
      </c>
      <c r="P12" t="s">
        <v>693</v>
      </c>
      <c r="Q12">
        <f t="array" ref="Q12:R14">LINEST($AC$101:$AC$110,$L$101:$L$110,1,1)</f>
        <v>1.0131044969917056</v>
      </c>
      <c r="R12">
        <v>1298.0776327747087</v>
      </c>
      <c r="V12">
        <v>661.9</v>
      </c>
      <c r="W12">
        <f>W7*V12+W8</f>
        <v>139.06983125077926</v>
      </c>
      <c r="X12">
        <f>X7*V12+X8</f>
        <v>131.30539038212453</v>
      </c>
      <c r="AF12" t="s">
        <v>705</v>
      </c>
      <c r="AJ12">
        <v>247</v>
      </c>
      <c r="AK12" t="s">
        <v>706</v>
      </c>
    </row>
    <row r="13" spans="4:49" x14ac:dyDescent="0.25">
      <c r="D13" t="s">
        <v>696</v>
      </c>
      <c r="E13">
        <v>3.5673569679450304E-2</v>
      </c>
      <c r="F13">
        <v>27.640771305861513</v>
      </c>
      <c r="H13" t="s">
        <v>696</v>
      </c>
      <c r="I13">
        <v>3.108958023439274E-2</v>
      </c>
      <c r="J13">
        <v>24.088981982341494</v>
      </c>
      <c r="L13" t="s">
        <v>696</v>
      </c>
      <c r="M13">
        <v>2.1167655434585625E-2</v>
      </c>
      <c r="N13">
        <v>16.401227244878111</v>
      </c>
      <c r="P13" t="s">
        <v>696</v>
      </c>
      <c r="Q13">
        <v>0.22541092540186744</v>
      </c>
      <c r="R13">
        <v>207.53547859761611</v>
      </c>
      <c r="U13" s="298" t="s">
        <v>707</v>
      </c>
      <c r="AB13" s="298" t="s">
        <v>708</v>
      </c>
      <c r="AF13" t="s">
        <v>709</v>
      </c>
      <c r="AJ13">
        <f>124+107</f>
        <v>231</v>
      </c>
      <c r="AK13" t="s">
        <v>710</v>
      </c>
    </row>
    <row r="14" spans="4:49" x14ac:dyDescent="0.25">
      <c r="D14" t="s">
        <v>699</v>
      </c>
      <c r="E14">
        <v>0.95302430812025962</v>
      </c>
      <c r="F14">
        <v>31.68891287537447</v>
      </c>
      <c r="H14" t="s">
        <v>699</v>
      </c>
      <c r="I14">
        <v>0.96558207335934509</v>
      </c>
      <c r="J14">
        <v>27.616944652083852</v>
      </c>
      <c r="L14" t="s">
        <v>699</v>
      </c>
      <c r="M14">
        <v>0.977085303672103</v>
      </c>
      <c r="N14">
        <v>18.803276343520299</v>
      </c>
      <c r="P14" t="s">
        <v>699</v>
      </c>
      <c r="Q14">
        <v>0.71631542231007461</v>
      </c>
      <c r="R14">
        <v>37.712811832395388</v>
      </c>
      <c r="W14" t="s">
        <v>485</v>
      </c>
      <c r="X14" t="s">
        <v>488</v>
      </c>
      <c r="Y14" t="s">
        <v>685</v>
      </c>
      <c r="Z14" t="s">
        <v>491</v>
      </c>
      <c r="AB14" t="s">
        <v>711</v>
      </c>
      <c r="AC14">
        <v>159</v>
      </c>
      <c r="AD14" t="s">
        <v>712</v>
      </c>
      <c r="AF14" t="s">
        <v>713</v>
      </c>
      <c r="AJ14">
        <f>350+279</f>
        <v>629</v>
      </c>
      <c r="AK14" t="s">
        <v>714</v>
      </c>
    </row>
    <row r="15" spans="4:49" x14ac:dyDescent="0.25">
      <c r="U15" t="s">
        <v>694</v>
      </c>
      <c r="W15" s="258">
        <f>E17</f>
        <v>1.3565756517544196</v>
      </c>
      <c r="X15" s="258">
        <f>I17</f>
        <v>1.2570018926592408</v>
      </c>
      <c r="Y15" s="258">
        <f>M17</f>
        <v>1.0689483180091128</v>
      </c>
      <c r="Z15" s="258">
        <f>Q17</f>
        <v>1.3104939955713899</v>
      </c>
      <c r="AB15" t="s">
        <v>715</v>
      </c>
      <c r="AC15">
        <v>1183</v>
      </c>
      <c r="AD15" t="s">
        <v>716</v>
      </c>
      <c r="AF15" t="s">
        <v>400</v>
      </c>
      <c r="AJ15" s="258">
        <f>AJ13/AJ14</f>
        <v>0.36724960254372019</v>
      </c>
      <c r="AK15" t="s">
        <v>717</v>
      </c>
      <c r="AL15" s="302">
        <f>(AJ14*3.6)/(AJ13/AC9)/1000</f>
        <v>0.37347896103896105</v>
      </c>
    </row>
    <row r="16" spans="4:49" x14ac:dyDescent="0.25">
      <c r="D16" s="298" t="s">
        <v>718</v>
      </c>
      <c r="U16" t="s">
        <v>697</v>
      </c>
      <c r="W16" s="258">
        <f>1/AC8/100*1000*F17</f>
        <v>70.230748454632177</v>
      </c>
      <c r="X16" s="258">
        <f>1/AC9/100*1000*J17</f>
        <v>47.226464833505872</v>
      </c>
      <c r="Y16" s="258">
        <f>1/AC10/100*1000*N17</f>
        <v>14.749344752353803</v>
      </c>
      <c r="Z16" s="258">
        <f>1/AC11/100*1000*R17</f>
        <v>50.285290465410377</v>
      </c>
      <c r="AF16" t="s">
        <v>719</v>
      </c>
      <c r="AJ16" s="82">
        <f>AJ12/AJ15</f>
        <v>672.5670995670996</v>
      </c>
      <c r="AK16" t="s">
        <v>698</v>
      </c>
    </row>
    <row r="17" spans="3:37" x14ac:dyDescent="0.25">
      <c r="D17" t="s">
        <v>693</v>
      </c>
      <c r="E17">
        <f t="array" ref="E17:F19">LINEST($Z$75:$Z$110,$M$75:$M$110,1,1)</f>
        <v>1.3565756517544196</v>
      </c>
      <c r="F17">
        <v>240.18915971484205</v>
      </c>
      <c r="H17" t="s">
        <v>693</v>
      </c>
      <c r="I17">
        <f t="array" ref="I17:J19">LINEST($AA$75:$AA$110,$N$75:$N$110,1,1)</f>
        <v>1.2570018926592408</v>
      </c>
      <c r="J17">
        <v>179.93283101565737</v>
      </c>
      <c r="L17" t="s">
        <v>693</v>
      </c>
      <c r="M17">
        <f t="array" ref="M17:N19">LINEST($AB$75:$AB$110,$H$75:$H$110,1,1)</f>
        <v>1.0689483180091128</v>
      </c>
      <c r="N17">
        <v>54.572575583709067</v>
      </c>
      <c r="P17" t="s">
        <v>693</v>
      </c>
      <c r="Q17">
        <f t="array" ref="Q17:R19">LINEST($AC$101:$AC$110,$I$101:$I$110,1,1)</f>
        <v>1.3104939955713899</v>
      </c>
      <c r="R17">
        <v>231.31233614088774</v>
      </c>
      <c r="U17" t="s">
        <v>673</v>
      </c>
      <c r="W17" s="82">
        <f>W9*W15+W16</f>
        <v>320.5026606882015</v>
      </c>
      <c r="X17" s="82">
        <f>X9*X15+X16</f>
        <v>269.0439098319298</v>
      </c>
      <c r="Y17" s="82">
        <f>Y9*Y15+Y16</f>
        <v>212.40820783093977</v>
      </c>
      <c r="Z17" s="82">
        <f>Z9*Z15+Z16</f>
        <v>477.45690285260571</v>
      </c>
      <c r="AF17" t="s">
        <v>720</v>
      </c>
      <c r="AJ17" s="82">
        <f>AVERAGE(N94:N100)</f>
        <v>647.57899999999984</v>
      </c>
      <c r="AK17" t="s">
        <v>698</v>
      </c>
    </row>
    <row r="18" spans="3:37" x14ac:dyDescent="0.25">
      <c r="D18" t="s">
        <v>696</v>
      </c>
      <c r="E18">
        <v>2.6898357481685498E-2</v>
      </c>
      <c r="F18">
        <v>14.893086073456775</v>
      </c>
      <c r="H18" t="s">
        <v>696</v>
      </c>
      <c r="I18">
        <v>2.1145683471638581E-2</v>
      </c>
      <c r="J18">
        <v>12.414574263894144</v>
      </c>
      <c r="L18" t="s">
        <v>696</v>
      </c>
      <c r="M18">
        <v>4.5274592231916537E-3</v>
      </c>
      <c r="N18">
        <v>2.6349353504746529</v>
      </c>
      <c r="P18" t="s">
        <v>696</v>
      </c>
      <c r="Q18">
        <v>1.2268570690478447E-3</v>
      </c>
      <c r="R18">
        <v>1.871413674110501</v>
      </c>
      <c r="U18" t="s">
        <v>700</v>
      </c>
      <c r="W18" s="82">
        <f>W17*100*AC8/1000</f>
        <v>1096.1190995536492</v>
      </c>
      <c r="X18" s="82">
        <f>X17*100*AC9/1000</f>
        <v>1025.0572964596524</v>
      </c>
      <c r="Y18" s="82">
        <f>Y17*100*AC10/1000</f>
        <v>785.91036897447725</v>
      </c>
      <c r="Z18" s="82">
        <f>Z17*100*AC11/1000</f>
        <v>2196.3017531219862</v>
      </c>
      <c r="AF18" t="s">
        <v>721</v>
      </c>
      <c r="AJ18" s="82">
        <f>AVERAGE(AA94:AA100)</f>
        <v>979.92485714285704</v>
      </c>
      <c r="AK18" t="s">
        <v>698</v>
      </c>
    </row>
    <row r="19" spans="3:37" x14ac:dyDescent="0.25">
      <c r="D19" t="s">
        <v>699</v>
      </c>
      <c r="E19">
        <v>0.98680906639693522</v>
      </c>
      <c r="F19">
        <v>16.79223544836556</v>
      </c>
      <c r="H19" t="s">
        <v>699</v>
      </c>
      <c r="I19">
        <v>0.99047002318918431</v>
      </c>
      <c r="J19">
        <v>14.532127488105694</v>
      </c>
      <c r="L19" t="s">
        <v>699</v>
      </c>
      <c r="M19">
        <v>0.99939044936173471</v>
      </c>
      <c r="N19">
        <v>3.0667711621812406</v>
      </c>
      <c r="P19" t="s">
        <v>699</v>
      </c>
      <c r="Q19">
        <v>0.99999298859893382</v>
      </c>
      <c r="R19">
        <v>0.18748799131796864</v>
      </c>
      <c r="U19" t="s">
        <v>702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3" t="s">
        <v>722</v>
      </c>
      <c r="E22" s="303"/>
      <c r="F22" s="303"/>
      <c r="G22" s="303"/>
      <c r="H22" s="303"/>
      <c r="I22" s="303"/>
      <c r="K22" s="13"/>
      <c r="L22" s="13"/>
      <c r="M22" s="13"/>
      <c r="N22" s="13"/>
      <c r="O22" s="13"/>
      <c r="P22" s="13"/>
      <c r="Q22" s="303" t="s">
        <v>723</v>
      </c>
      <c r="R22" s="303"/>
      <c r="S22" s="303"/>
      <c r="T22" s="303"/>
      <c r="U22" s="303"/>
    </row>
    <row r="23" spans="3:37" x14ac:dyDescent="0.25">
      <c r="C23" s="193"/>
      <c r="D23" s="304" t="s">
        <v>724</v>
      </c>
      <c r="E23" s="107"/>
      <c r="F23" s="107"/>
      <c r="G23" s="107"/>
      <c r="H23" s="107"/>
      <c r="I23" s="107"/>
      <c r="J23" s="107"/>
      <c r="K23" s="15"/>
      <c r="L23" s="10"/>
      <c r="M23" s="107"/>
      <c r="N23" s="15"/>
      <c r="O23" s="304"/>
      <c r="P23" s="304"/>
      <c r="Q23" s="304"/>
      <c r="R23" s="304"/>
      <c r="S23" s="305" t="s">
        <v>725</v>
      </c>
      <c r="T23" s="304"/>
      <c r="U23" s="304"/>
      <c r="V23" s="304"/>
      <c r="W23" s="304"/>
      <c r="X23" s="304"/>
      <c r="Y23" s="306"/>
      <c r="Z23" s="305"/>
      <c r="AA23" s="304"/>
      <c r="AB23" s="304"/>
      <c r="AC23" s="304"/>
      <c r="AD23" s="305" t="s">
        <v>726</v>
      </c>
      <c r="AE23" s="304"/>
      <c r="AF23" s="304"/>
      <c r="AG23" s="304"/>
      <c r="AH23" s="305"/>
      <c r="AI23" s="304"/>
      <c r="AJ23" s="304"/>
      <c r="AK23" s="15"/>
    </row>
    <row r="24" spans="3:37" x14ac:dyDescent="0.25">
      <c r="C24" s="73"/>
      <c r="D24" s="307" t="s">
        <v>727</v>
      </c>
      <c r="J24" s="308" t="s">
        <v>728</v>
      </c>
      <c r="K24" s="11"/>
      <c r="L24" s="11"/>
      <c r="M24" s="309" t="s">
        <v>729</v>
      </c>
      <c r="N24" s="11"/>
      <c r="O24" s="26" t="s">
        <v>730</v>
      </c>
      <c r="P24" s="26"/>
      <c r="Q24" s="26"/>
      <c r="R24" s="26"/>
      <c r="S24" s="309" t="s">
        <v>485</v>
      </c>
      <c r="T24" s="26"/>
      <c r="U24" s="26"/>
      <c r="V24" s="26" t="s">
        <v>488</v>
      </c>
      <c r="W24" s="26"/>
      <c r="X24" s="26" t="s">
        <v>685</v>
      </c>
      <c r="Y24" s="310"/>
      <c r="Z24" s="309"/>
      <c r="AA24" s="26"/>
      <c r="AB24" s="26"/>
      <c r="AC24" s="26"/>
      <c r="AD24" s="309" t="s">
        <v>731</v>
      </c>
      <c r="AE24" s="26"/>
      <c r="AF24" s="26"/>
      <c r="AG24" s="26"/>
      <c r="AH24" s="309" t="s">
        <v>732</v>
      </c>
      <c r="AI24" s="26"/>
      <c r="AJ24" s="26"/>
      <c r="AK24" s="11"/>
    </row>
    <row r="25" spans="3:37" ht="60" x14ac:dyDescent="0.25">
      <c r="C25" s="212"/>
      <c r="D25" s="311" t="s">
        <v>733</v>
      </c>
      <c r="E25" s="311" t="s">
        <v>734</v>
      </c>
      <c r="F25" s="311" t="s">
        <v>735</v>
      </c>
      <c r="G25" s="311" t="s">
        <v>736</v>
      </c>
      <c r="H25" s="311" t="s">
        <v>737</v>
      </c>
      <c r="I25" s="311" t="s">
        <v>491</v>
      </c>
      <c r="J25" s="311" t="s">
        <v>738</v>
      </c>
      <c r="K25" s="312" t="s">
        <v>739</v>
      </c>
      <c r="L25" s="312" t="s">
        <v>740</v>
      </c>
      <c r="M25" s="313" t="s">
        <v>741</v>
      </c>
      <c r="N25" s="312" t="s">
        <v>742</v>
      </c>
      <c r="O25" s="313" t="s">
        <v>743</v>
      </c>
      <c r="P25" s="311" t="s">
        <v>744</v>
      </c>
      <c r="Q25" s="311" t="s">
        <v>745</v>
      </c>
      <c r="R25" s="311" t="s">
        <v>746</v>
      </c>
      <c r="S25" s="313" t="s">
        <v>747</v>
      </c>
      <c r="T25" s="311" t="s">
        <v>748</v>
      </c>
      <c r="U25" s="311" t="s">
        <v>747</v>
      </c>
      <c r="V25" s="311" t="s">
        <v>749</v>
      </c>
      <c r="W25" s="311" t="s">
        <v>750</v>
      </c>
      <c r="X25" s="311" t="s">
        <v>750</v>
      </c>
      <c r="Y25" s="312" t="s">
        <v>749</v>
      </c>
      <c r="Z25" s="313" t="s">
        <v>741</v>
      </c>
      <c r="AA25" s="311" t="s">
        <v>751</v>
      </c>
      <c r="AB25" s="311" t="s">
        <v>752</v>
      </c>
      <c r="AC25" s="311" t="s">
        <v>753</v>
      </c>
      <c r="AD25" s="313" t="s">
        <v>743</v>
      </c>
      <c r="AE25" s="311" t="s">
        <v>744</v>
      </c>
      <c r="AF25" s="311" t="s">
        <v>745</v>
      </c>
      <c r="AG25" s="312" t="s">
        <v>746</v>
      </c>
      <c r="AH25" s="313" t="s">
        <v>754</v>
      </c>
      <c r="AI25" s="311" t="s">
        <v>755</v>
      </c>
      <c r="AJ25" s="311" t="s">
        <v>756</v>
      </c>
      <c r="AK25" s="312" t="s">
        <v>757</v>
      </c>
    </row>
    <row r="26" spans="3:37" x14ac:dyDescent="0.25">
      <c r="C26" s="212"/>
      <c r="D26" s="313" t="s">
        <v>698</v>
      </c>
      <c r="E26" s="311" t="s">
        <v>698</v>
      </c>
      <c r="F26" s="311" t="s">
        <v>698</v>
      </c>
      <c r="G26" s="311" t="s">
        <v>698</v>
      </c>
      <c r="H26" s="311" t="s">
        <v>698</v>
      </c>
      <c r="I26" s="311" t="s">
        <v>758</v>
      </c>
      <c r="J26" s="311" t="s">
        <v>759</v>
      </c>
      <c r="K26" s="312" t="s">
        <v>678</v>
      </c>
      <c r="L26" s="312" t="s">
        <v>676</v>
      </c>
      <c r="M26" s="313" t="s">
        <v>698</v>
      </c>
      <c r="N26" s="312" t="s">
        <v>698</v>
      </c>
      <c r="O26" s="313" t="s">
        <v>698</v>
      </c>
      <c r="P26" s="311" t="s">
        <v>698</v>
      </c>
      <c r="Q26" s="311" t="s">
        <v>698</v>
      </c>
      <c r="R26" s="311" t="s">
        <v>758</v>
      </c>
      <c r="S26" s="313" t="s">
        <v>698</v>
      </c>
      <c r="T26" s="311" t="s">
        <v>698</v>
      </c>
      <c r="U26" s="311" t="s">
        <v>698</v>
      </c>
      <c r="V26" s="311" t="s">
        <v>698</v>
      </c>
      <c r="W26" s="311" t="s">
        <v>698</v>
      </c>
      <c r="X26" s="311" t="s">
        <v>698</v>
      </c>
      <c r="Y26" s="312" t="s">
        <v>698</v>
      </c>
      <c r="Z26" s="313" t="s">
        <v>698</v>
      </c>
      <c r="AA26" s="311" t="s">
        <v>698</v>
      </c>
      <c r="AB26" s="311" t="s">
        <v>698</v>
      </c>
      <c r="AC26" s="311" t="s">
        <v>758</v>
      </c>
      <c r="AD26" s="313" t="s">
        <v>698</v>
      </c>
      <c r="AE26" s="311" t="s">
        <v>698</v>
      </c>
      <c r="AF26" s="311" t="s">
        <v>698</v>
      </c>
      <c r="AG26" s="311" t="s">
        <v>758</v>
      </c>
      <c r="AH26" s="313" t="s">
        <v>698</v>
      </c>
      <c r="AI26" s="311" t="s">
        <v>698</v>
      </c>
      <c r="AJ26" s="311" t="s">
        <v>698</v>
      </c>
      <c r="AK26" s="311" t="s">
        <v>758</v>
      </c>
    </row>
    <row r="27" spans="3:37" x14ac:dyDescent="0.25">
      <c r="C27" s="314">
        <v>38718</v>
      </c>
      <c r="D27" s="73">
        <v>266.23200000000003</v>
      </c>
      <c r="E27">
        <v>269.01299999999998</v>
      </c>
      <c r="F27">
        <v>307.63</v>
      </c>
      <c r="G27">
        <v>315.02999999999997</v>
      </c>
      <c r="H27">
        <v>307.12799999999999</v>
      </c>
      <c r="J27">
        <v>6.3761999999999999</v>
      </c>
      <c r="K27" s="11">
        <v>54.46</v>
      </c>
      <c r="L27" s="315">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4">
        <v>38749</v>
      </c>
      <c r="D28" s="73">
        <v>280.23200000000003</v>
      </c>
      <c r="E28">
        <v>283.01299999999998</v>
      </c>
      <c r="F28">
        <v>307.63</v>
      </c>
      <c r="G28">
        <v>314.02999999999997</v>
      </c>
      <c r="H28">
        <v>311.12799999999999</v>
      </c>
      <c r="J28">
        <v>6.1407999999999996</v>
      </c>
      <c r="K28" s="11">
        <v>55.49</v>
      </c>
      <c r="L28" s="315">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4">
        <v>38777</v>
      </c>
      <c r="D29" s="73">
        <v>269.23200000000003</v>
      </c>
      <c r="E29">
        <v>272.01299999999998</v>
      </c>
      <c r="F29">
        <v>307.63</v>
      </c>
      <c r="G29">
        <v>312.02999999999997</v>
      </c>
      <c r="H29">
        <v>315.12799999999999</v>
      </c>
      <c r="J29">
        <v>6.1372999999999998</v>
      </c>
      <c r="K29" s="11">
        <v>61.08</v>
      </c>
      <c r="L29" s="315">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4">
        <v>38808</v>
      </c>
      <c r="D30" s="73">
        <v>295.63200000000001</v>
      </c>
      <c r="E30">
        <v>297.41300000000001</v>
      </c>
      <c r="F30">
        <v>338.63</v>
      </c>
      <c r="G30">
        <v>342.03</v>
      </c>
      <c r="H30">
        <v>330.12799999999999</v>
      </c>
      <c r="J30">
        <v>6.26</v>
      </c>
      <c r="K30" s="11">
        <v>65.66</v>
      </c>
      <c r="L30" s="315">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4">
        <v>38838</v>
      </c>
      <c r="D31" s="73">
        <v>334.63200000000001</v>
      </c>
      <c r="E31">
        <v>336.41300000000001</v>
      </c>
      <c r="F31">
        <v>365.63</v>
      </c>
      <c r="G31">
        <v>369.03</v>
      </c>
      <c r="H31">
        <v>350.12799999999999</v>
      </c>
      <c r="J31">
        <v>6.0904999999999996</v>
      </c>
      <c r="K31" s="11">
        <v>68.8</v>
      </c>
      <c r="L31" s="315">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4">
        <v>38869</v>
      </c>
      <c r="D32" s="73">
        <v>370.63200000000001</v>
      </c>
      <c r="E32">
        <v>372.41300000000001</v>
      </c>
      <c r="F32">
        <v>394.63</v>
      </c>
      <c r="G32">
        <v>401.03</v>
      </c>
      <c r="H32">
        <v>370.12799999999999</v>
      </c>
      <c r="J32">
        <v>6.34</v>
      </c>
      <c r="K32" s="11">
        <v>70.11</v>
      </c>
      <c r="L32" s="315">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4">
        <v>38899</v>
      </c>
      <c r="D33" s="73">
        <v>395.63200000000001</v>
      </c>
      <c r="E33">
        <v>397.41300000000001</v>
      </c>
      <c r="F33">
        <v>426.63</v>
      </c>
      <c r="G33">
        <v>432.03</v>
      </c>
      <c r="H33">
        <v>406.12799999999999</v>
      </c>
      <c r="J33">
        <v>6.9859999999999998</v>
      </c>
      <c r="K33" s="11">
        <v>72.209999999999994</v>
      </c>
      <c r="L33" s="315">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4">
        <v>38930</v>
      </c>
      <c r="D34" s="73">
        <v>426.63200000000001</v>
      </c>
      <c r="E34">
        <v>428.41300000000001</v>
      </c>
      <c r="F34">
        <v>428.63</v>
      </c>
      <c r="G34">
        <v>457.03</v>
      </c>
      <c r="H34">
        <v>427.12799999999999</v>
      </c>
      <c r="J34">
        <v>7.1276000000000002</v>
      </c>
      <c r="K34" s="11">
        <v>73.7</v>
      </c>
      <c r="L34" s="315">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4">
        <v>38961</v>
      </c>
      <c r="D35" s="73">
        <v>390.63200000000001</v>
      </c>
      <c r="E35">
        <v>392.41300000000001</v>
      </c>
      <c r="F35">
        <v>423.63</v>
      </c>
      <c r="G35">
        <v>445.03</v>
      </c>
      <c r="H35">
        <v>422.12799999999999</v>
      </c>
      <c r="J35">
        <v>6.9705000000000004</v>
      </c>
      <c r="K35" s="11">
        <v>65.12</v>
      </c>
      <c r="L35" s="315">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4">
        <v>38991</v>
      </c>
      <c r="D36" s="73">
        <v>337.63200000000001</v>
      </c>
      <c r="E36">
        <v>339.63</v>
      </c>
      <c r="F36">
        <v>389.63</v>
      </c>
      <c r="G36">
        <v>391.03</v>
      </c>
      <c r="H36">
        <v>400.12799999999999</v>
      </c>
      <c r="J36">
        <v>7.4347000000000003</v>
      </c>
      <c r="K36" s="11">
        <v>59.11</v>
      </c>
      <c r="L36" s="315">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4">
        <v>39022</v>
      </c>
      <c r="D37" s="73">
        <v>316.63200000000001</v>
      </c>
      <c r="E37">
        <v>318.41300000000001</v>
      </c>
      <c r="F37">
        <v>387.63</v>
      </c>
      <c r="G37">
        <v>390.03</v>
      </c>
      <c r="H37">
        <v>387.12799999999999</v>
      </c>
      <c r="J37">
        <v>7.7000999999999999</v>
      </c>
      <c r="K37" s="11">
        <v>63.03</v>
      </c>
      <c r="L37" s="315">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4">
        <v>39052</v>
      </c>
      <c r="D38" s="73">
        <v>309.63200000000001</v>
      </c>
      <c r="E38">
        <v>311.41300000000001</v>
      </c>
      <c r="F38">
        <v>362.63</v>
      </c>
      <c r="G38">
        <v>364.03</v>
      </c>
      <c r="H38">
        <v>362.12799999999999</v>
      </c>
      <c r="J38">
        <v>7.3083</v>
      </c>
      <c r="K38" s="11">
        <v>58.32</v>
      </c>
      <c r="L38" s="315">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4">
        <v>39083</v>
      </c>
      <c r="D39" s="73">
        <v>315.63200000000001</v>
      </c>
      <c r="E39">
        <v>319.41300000000001</v>
      </c>
      <c r="F39">
        <v>345.63</v>
      </c>
      <c r="G39">
        <v>347.03</v>
      </c>
      <c r="H39">
        <v>365.12799999999999</v>
      </c>
      <c r="J39">
        <v>7.0609000000000002</v>
      </c>
      <c r="K39" s="11">
        <v>58.02</v>
      </c>
      <c r="L39" s="315">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4">
        <v>39114</v>
      </c>
      <c r="D40" s="73">
        <v>292.63200000000001</v>
      </c>
      <c r="E40">
        <v>296.41300000000001</v>
      </c>
      <c r="F40">
        <v>336.63</v>
      </c>
      <c r="G40">
        <v>341.03</v>
      </c>
      <c r="H40">
        <v>339.12799999999999</v>
      </c>
      <c r="J40">
        <v>7.1928999999999998</v>
      </c>
      <c r="K40" s="11">
        <v>53.12</v>
      </c>
      <c r="L40" s="315">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4">
        <v>39142</v>
      </c>
      <c r="D41" s="73">
        <v>315.53199999999998</v>
      </c>
      <c r="E41">
        <v>319.31299999999999</v>
      </c>
      <c r="F41">
        <v>346.63</v>
      </c>
      <c r="G41">
        <v>349.03</v>
      </c>
      <c r="H41">
        <v>349.12799999999999</v>
      </c>
      <c r="J41">
        <v>7.1955999999999998</v>
      </c>
      <c r="K41" s="11">
        <v>57.35</v>
      </c>
      <c r="L41" s="315">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4">
        <v>39173</v>
      </c>
      <c r="D42" s="73">
        <v>374.53199999999998</v>
      </c>
      <c r="E42">
        <v>377.31299999999999</v>
      </c>
      <c r="F42">
        <v>374.63</v>
      </c>
      <c r="G42">
        <v>376.03</v>
      </c>
      <c r="H42">
        <v>379.12799999999999</v>
      </c>
      <c r="J42">
        <v>7.3841000000000001</v>
      </c>
      <c r="K42" s="11">
        <v>62.1</v>
      </c>
      <c r="L42" s="315">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4">
        <v>39203</v>
      </c>
      <c r="D43" s="73">
        <v>408.53199999999998</v>
      </c>
      <c r="E43">
        <v>411.31299999999999</v>
      </c>
      <c r="F43">
        <v>404.63</v>
      </c>
      <c r="G43">
        <v>406.03</v>
      </c>
      <c r="H43">
        <v>397.12799999999999</v>
      </c>
      <c r="J43">
        <v>7.1680000000000001</v>
      </c>
      <c r="K43" s="11">
        <v>64.13</v>
      </c>
      <c r="L43" s="315">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4">
        <v>39234</v>
      </c>
      <c r="D44" s="73">
        <v>431.53199999999998</v>
      </c>
      <c r="E44">
        <v>434.31299999999999</v>
      </c>
      <c r="F44">
        <v>409.63</v>
      </c>
      <c r="G44">
        <v>413.03</v>
      </c>
      <c r="H44">
        <v>399.12799999999999</v>
      </c>
      <c r="J44">
        <v>7.0457000000000001</v>
      </c>
      <c r="K44" s="11">
        <v>66.45</v>
      </c>
      <c r="L44" s="315">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4">
        <v>39264</v>
      </c>
      <c r="D45" s="73">
        <v>423.33199999999999</v>
      </c>
      <c r="E45">
        <v>426.113</v>
      </c>
      <c r="F45">
        <v>420.63</v>
      </c>
      <c r="G45">
        <v>424.03</v>
      </c>
      <c r="H45">
        <v>416.12799999999999</v>
      </c>
      <c r="J45">
        <v>7.1947999999999999</v>
      </c>
      <c r="K45" s="11">
        <v>63.33</v>
      </c>
      <c r="L45" s="315">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4">
        <v>39295</v>
      </c>
      <c r="D46" s="73">
        <v>408.33199999999999</v>
      </c>
      <c r="E46">
        <v>411.113</v>
      </c>
      <c r="F46">
        <v>435.63</v>
      </c>
      <c r="G46">
        <v>439.03</v>
      </c>
      <c r="H46">
        <v>423.12799999999999</v>
      </c>
      <c r="J46">
        <v>6.9782000000000002</v>
      </c>
      <c r="K46" s="11">
        <v>60.48</v>
      </c>
      <c r="L46" s="315">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4">
        <v>39326</v>
      </c>
      <c r="D47" s="73">
        <v>386.63200000000001</v>
      </c>
      <c r="E47">
        <v>389.41300000000001</v>
      </c>
      <c r="F47">
        <v>440.63</v>
      </c>
      <c r="G47">
        <v>444.03</v>
      </c>
      <c r="H47">
        <v>423.12799999999999</v>
      </c>
      <c r="J47">
        <v>7.2355999999999998</v>
      </c>
      <c r="K47" s="11">
        <v>71.790000000000006</v>
      </c>
      <c r="L47" s="315">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4">
        <v>39356</v>
      </c>
      <c r="D48" s="73">
        <v>395.63200000000001</v>
      </c>
      <c r="E48">
        <v>399.41300000000001</v>
      </c>
      <c r="F48">
        <v>463.63</v>
      </c>
      <c r="G48">
        <v>467.03</v>
      </c>
      <c r="H48">
        <v>441.12799999999999</v>
      </c>
      <c r="J48">
        <v>7.1580000000000004</v>
      </c>
      <c r="K48" s="11">
        <v>76.432000000000002</v>
      </c>
      <c r="L48" s="315">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4">
        <v>39387</v>
      </c>
      <c r="D49" s="73">
        <v>398.63200000000001</v>
      </c>
      <c r="E49">
        <v>402.41300000000001</v>
      </c>
      <c r="F49">
        <v>457.63</v>
      </c>
      <c r="G49">
        <v>461.03</v>
      </c>
      <c r="H49">
        <v>451.12799999999999</v>
      </c>
      <c r="J49">
        <v>6.7877000000000001</v>
      </c>
      <c r="K49" s="11">
        <v>82.78</v>
      </c>
      <c r="L49" s="315">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4">
        <v>39417</v>
      </c>
      <c r="D50" s="73">
        <v>441.63</v>
      </c>
      <c r="E50">
        <v>445.41300000000001</v>
      </c>
      <c r="F50">
        <v>508.63</v>
      </c>
      <c r="G50">
        <v>513.03</v>
      </c>
      <c r="H50">
        <v>509.12799999999999</v>
      </c>
      <c r="J50">
        <v>6.7243000000000004</v>
      </c>
      <c r="K50" s="11">
        <v>92.91</v>
      </c>
      <c r="L50" s="315">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4">
        <v>39448</v>
      </c>
      <c r="D51" s="73">
        <v>441.63200000000001</v>
      </c>
      <c r="E51">
        <v>445.41300000000001</v>
      </c>
      <c r="F51">
        <v>509.63</v>
      </c>
      <c r="G51">
        <v>513.03</v>
      </c>
      <c r="H51">
        <v>500.12799999999999</v>
      </c>
      <c r="J51">
        <v>6.8433000000000002</v>
      </c>
      <c r="K51" s="11">
        <v>90.37</v>
      </c>
      <c r="L51" s="315">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4">
        <v>39479</v>
      </c>
      <c r="D52" s="73">
        <v>458.63200000000001</v>
      </c>
      <c r="E52">
        <v>462.41300000000001</v>
      </c>
      <c r="F52">
        <v>516.63</v>
      </c>
      <c r="G52">
        <v>520.29999999999995</v>
      </c>
      <c r="H52">
        <v>502.12799999999999</v>
      </c>
      <c r="J52">
        <v>6.9837999999999996</v>
      </c>
      <c r="K52" s="11">
        <v>92.16</v>
      </c>
      <c r="L52" s="315">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4">
        <v>39508</v>
      </c>
      <c r="D53" s="73">
        <v>519.63199999999995</v>
      </c>
      <c r="E53">
        <v>523.41300000000001</v>
      </c>
      <c r="F53">
        <v>594.63</v>
      </c>
      <c r="G53">
        <v>598.29999999999995</v>
      </c>
      <c r="H53">
        <v>578.12800000000004</v>
      </c>
      <c r="J53">
        <v>7.6645000000000003</v>
      </c>
      <c r="K53" s="11">
        <v>94.74</v>
      </c>
      <c r="L53" s="315">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4">
        <v>39539</v>
      </c>
      <c r="D54" s="73">
        <v>575.63199999999995</v>
      </c>
      <c r="E54">
        <v>578.41300000000001</v>
      </c>
      <c r="F54">
        <v>711.63</v>
      </c>
      <c r="G54">
        <v>717.03</v>
      </c>
      <c r="H54">
        <v>696.12800000000004</v>
      </c>
      <c r="J54">
        <v>7.9884000000000004</v>
      </c>
      <c r="K54" s="11">
        <v>102.4</v>
      </c>
      <c r="L54" s="315">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4">
        <v>39569</v>
      </c>
      <c r="D55" s="73">
        <v>606.63199999999995</v>
      </c>
      <c r="E55">
        <v>609.41300000000001</v>
      </c>
      <c r="F55">
        <v>758.63</v>
      </c>
      <c r="G55">
        <v>765.03</v>
      </c>
      <c r="H55">
        <v>749.12800000000004</v>
      </c>
      <c r="J55">
        <v>7.8445999999999998</v>
      </c>
      <c r="K55" s="11">
        <v>108.37</v>
      </c>
      <c r="L55" s="315">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4">
        <v>39600</v>
      </c>
      <c r="D56" s="73">
        <v>651.63199999999995</v>
      </c>
      <c r="E56">
        <v>654.41300000000001</v>
      </c>
      <c r="F56">
        <v>829.63</v>
      </c>
      <c r="G56">
        <v>835.03</v>
      </c>
      <c r="H56">
        <v>820.12800000000004</v>
      </c>
      <c r="J56">
        <v>7.6433999999999997</v>
      </c>
      <c r="K56" s="11">
        <v>122.25</v>
      </c>
      <c r="L56" s="315">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4">
        <v>39630</v>
      </c>
      <c r="D57" s="73">
        <v>723.23199999999997</v>
      </c>
      <c r="E57">
        <v>730.01300000000003</v>
      </c>
      <c r="F57">
        <v>892.63</v>
      </c>
      <c r="G57">
        <v>898.03</v>
      </c>
      <c r="H57">
        <v>869.12800000000004</v>
      </c>
      <c r="J57">
        <v>7.9352</v>
      </c>
      <c r="K57" s="11">
        <v>131.54</v>
      </c>
      <c r="L57" s="315">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4">
        <v>39661</v>
      </c>
      <c r="D58" s="73">
        <v>682.63199999999995</v>
      </c>
      <c r="E58">
        <v>692.41300000000001</v>
      </c>
      <c r="F58">
        <v>870.63</v>
      </c>
      <c r="G58">
        <v>875.03</v>
      </c>
      <c r="H58">
        <v>867.12800000000004</v>
      </c>
      <c r="J58">
        <v>7.6814</v>
      </c>
      <c r="K58" s="11">
        <v>133.63999999999999</v>
      </c>
      <c r="L58" s="315">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4">
        <v>39692</v>
      </c>
      <c r="D59" s="73">
        <v>593.63199999999995</v>
      </c>
      <c r="E59">
        <v>598.41300000000001</v>
      </c>
      <c r="F59">
        <v>706.63</v>
      </c>
      <c r="G59">
        <v>709.03</v>
      </c>
      <c r="H59">
        <v>721.12800000000004</v>
      </c>
      <c r="J59">
        <v>7.6844999999999999</v>
      </c>
      <c r="K59" s="11">
        <v>113</v>
      </c>
      <c r="L59" s="315">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4">
        <v>39722</v>
      </c>
      <c r="D60" s="73">
        <v>564.03200000000004</v>
      </c>
      <c r="E60">
        <v>570.81299999999999</v>
      </c>
      <c r="F60">
        <v>650.63</v>
      </c>
      <c r="G60">
        <v>654.03</v>
      </c>
      <c r="H60">
        <v>656.12800000000004</v>
      </c>
      <c r="J60">
        <v>8.0182000000000002</v>
      </c>
      <c r="K60" s="11">
        <v>99.08</v>
      </c>
      <c r="L60" s="315">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4">
        <v>39753</v>
      </c>
      <c r="D61" s="73">
        <v>519.03200000000004</v>
      </c>
      <c r="E61">
        <v>525.81299999999999</v>
      </c>
      <c r="F61">
        <v>626.63</v>
      </c>
      <c r="G61">
        <v>633.03</v>
      </c>
      <c r="H61">
        <v>617.12800000000004</v>
      </c>
      <c r="J61">
        <v>9.5900999999999996</v>
      </c>
      <c r="K61" s="11">
        <v>75.33</v>
      </c>
      <c r="L61" s="315">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4">
        <v>39783</v>
      </c>
      <c r="D62" s="73">
        <v>358.03199999999998</v>
      </c>
      <c r="E62">
        <v>364.81299999999999</v>
      </c>
      <c r="F62">
        <v>545.63</v>
      </c>
      <c r="G62">
        <v>553.03</v>
      </c>
      <c r="H62">
        <v>542.12800000000004</v>
      </c>
      <c r="J62">
        <v>10.1823</v>
      </c>
      <c r="K62" s="11">
        <v>53.11</v>
      </c>
      <c r="L62" s="315">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4">
        <v>39814</v>
      </c>
      <c r="D63" s="73">
        <v>265.98200000000003</v>
      </c>
      <c r="E63">
        <v>274.76299999999998</v>
      </c>
      <c r="F63">
        <v>421.63</v>
      </c>
      <c r="G63">
        <v>431.03</v>
      </c>
      <c r="H63">
        <v>405.12799999999999</v>
      </c>
      <c r="J63">
        <v>9.9518000000000004</v>
      </c>
      <c r="K63" s="11">
        <v>39.988999999999997</v>
      </c>
      <c r="L63" s="315">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4">
        <v>39845</v>
      </c>
      <c r="D64" s="73">
        <v>326.98200000000003</v>
      </c>
      <c r="E64">
        <v>335.76299999999998</v>
      </c>
      <c r="F64">
        <v>416.63</v>
      </c>
      <c r="G64">
        <v>424.03</v>
      </c>
      <c r="H64">
        <v>391.12799999999999</v>
      </c>
      <c r="J64">
        <v>9.9331999999999994</v>
      </c>
      <c r="K64" s="11">
        <v>43.548000000000002</v>
      </c>
      <c r="L64" s="315">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4">
        <v>39873</v>
      </c>
      <c r="D65" s="73">
        <v>371.98200000000003</v>
      </c>
      <c r="E65">
        <v>380.76299999999998</v>
      </c>
      <c r="F65">
        <v>378.63</v>
      </c>
      <c r="G65">
        <v>386.03</v>
      </c>
      <c r="H65">
        <v>365.12799999999999</v>
      </c>
      <c r="J65">
        <v>10.0602</v>
      </c>
      <c r="K65" s="11">
        <v>43.07</v>
      </c>
      <c r="L65" s="315">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4">
        <v>39904</v>
      </c>
      <c r="D66" s="73">
        <v>367.48200000000003</v>
      </c>
      <c r="E66">
        <v>371.26299999999998</v>
      </c>
      <c r="F66">
        <v>376.63</v>
      </c>
      <c r="G66">
        <v>384.03</v>
      </c>
      <c r="H66">
        <v>360.12799999999999</v>
      </c>
      <c r="J66">
        <v>10.0655</v>
      </c>
      <c r="K66" s="11">
        <v>46.543999999999997</v>
      </c>
      <c r="L66" s="315">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4">
        <v>39934</v>
      </c>
      <c r="D67" s="73">
        <v>364.48200000000003</v>
      </c>
      <c r="E67">
        <v>368.26299999999998</v>
      </c>
      <c r="F67">
        <v>384.63</v>
      </c>
      <c r="G67">
        <v>390.03</v>
      </c>
      <c r="H67">
        <v>373.12799999999999</v>
      </c>
      <c r="J67">
        <v>9.1531000000000002</v>
      </c>
      <c r="K67" s="11">
        <v>50.274000000000001</v>
      </c>
      <c r="L67" s="315">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760</v>
      </c>
    </row>
    <row r="68" spans="3:47" x14ac:dyDescent="0.25">
      <c r="C68" s="314">
        <v>39965</v>
      </c>
      <c r="D68" s="73">
        <v>379.38200000000001</v>
      </c>
      <c r="E68">
        <v>383.16300000000001</v>
      </c>
      <c r="F68">
        <v>371.63</v>
      </c>
      <c r="G68">
        <v>376.03</v>
      </c>
      <c r="H68">
        <v>364.12799999999999</v>
      </c>
      <c r="J68">
        <v>8.4370999999999992</v>
      </c>
      <c r="K68" s="11">
        <v>56.576999999999998</v>
      </c>
      <c r="L68" s="315">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4">
        <v>39995</v>
      </c>
      <c r="D69" s="73">
        <v>416.38200000000001</v>
      </c>
      <c r="E69">
        <v>423.16300000000001</v>
      </c>
      <c r="F69">
        <v>411.63</v>
      </c>
      <c r="G69">
        <v>416.03</v>
      </c>
      <c r="H69">
        <v>410.12799999999999</v>
      </c>
      <c r="J69">
        <v>8.1092999999999993</v>
      </c>
      <c r="K69" s="11">
        <v>68.34</v>
      </c>
      <c r="L69" s="315">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4">
        <v>40026</v>
      </c>
      <c r="D70" s="73">
        <v>389.98099999999999</v>
      </c>
      <c r="E70">
        <v>396.76299999999998</v>
      </c>
      <c r="F70">
        <v>391.63</v>
      </c>
      <c r="G70">
        <v>395.03</v>
      </c>
      <c r="H70">
        <v>396.12799999999999</v>
      </c>
      <c r="J70">
        <v>7.984</v>
      </c>
      <c r="K70" s="11">
        <v>64.89</v>
      </c>
      <c r="L70" s="315">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6">
        <v>100</v>
      </c>
      <c r="AR70" s="317">
        <v>100</v>
      </c>
    </row>
    <row r="71" spans="3:47" x14ac:dyDescent="0.25">
      <c r="C71" s="314">
        <v>40057</v>
      </c>
      <c r="D71" s="73">
        <v>425.928</v>
      </c>
      <c r="E71">
        <v>432.76299999999998</v>
      </c>
      <c r="F71">
        <v>426.63</v>
      </c>
      <c r="G71">
        <v>431.03</v>
      </c>
      <c r="H71">
        <v>417.12799999999999</v>
      </c>
      <c r="J71">
        <v>7.9912999999999998</v>
      </c>
      <c r="K71" s="11">
        <v>72.66</v>
      </c>
      <c r="L71" s="315">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8">
        <f>0.4706</f>
        <v>0.47060000000000002</v>
      </c>
      <c r="AR71" s="319">
        <v>0.33400000000000002</v>
      </c>
    </row>
    <row r="72" spans="3:47" x14ac:dyDescent="0.25">
      <c r="C72" s="314">
        <v>40087</v>
      </c>
      <c r="D72" s="73">
        <v>379.48200000000003</v>
      </c>
      <c r="E72">
        <v>385.26299999999998</v>
      </c>
      <c r="F72">
        <v>386.63</v>
      </c>
      <c r="G72">
        <v>390.03</v>
      </c>
      <c r="H72">
        <v>382.12799999999999</v>
      </c>
      <c r="J72">
        <v>7.5763999999999996</v>
      </c>
      <c r="K72" s="11">
        <v>67.84</v>
      </c>
      <c r="L72" s="315">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8">
        <v>77.042000000000002</v>
      </c>
      <c r="AR72" s="319">
        <v>50.293999999999997</v>
      </c>
    </row>
    <row r="73" spans="3:47" x14ac:dyDescent="0.25">
      <c r="C73" s="314">
        <v>40118</v>
      </c>
      <c r="D73" s="73">
        <v>379.48200000000003</v>
      </c>
      <c r="E73">
        <v>385.26299999999998</v>
      </c>
      <c r="F73">
        <v>396.63</v>
      </c>
      <c r="G73">
        <v>398.03</v>
      </c>
      <c r="H73">
        <v>396.12799999999999</v>
      </c>
      <c r="J73">
        <v>7.4988000000000001</v>
      </c>
      <c r="K73" s="11">
        <v>72.92</v>
      </c>
      <c r="L73" s="315">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761</v>
      </c>
      <c r="AQ73" s="250">
        <f>AQ70*AQ$71+AQ$72</f>
        <v>124.102</v>
      </c>
      <c r="AR73" s="250">
        <f>AR70*AR$71+AR$72</f>
        <v>83.693999999999988</v>
      </c>
    </row>
    <row r="74" spans="3:47" x14ac:dyDescent="0.25">
      <c r="C74" s="314">
        <v>40148</v>
      </c>
      <c r="D74" s="73">
        <v>406.48200000000003</v>
      </c>
      <c r="E74">
        <v>412.26299999999998</v>
      </c>
      <c r="F74">
        <v>421.63</v>
      </c>
      <c r="G74">
        <v>424.03</v>
      </c>
      <c r="H74">
        <v>425.12799999999999</v>
      </c>
      <c r="J74">
        <v>7.5721999999999996</v>
      </c>
      <c r="K74" s="11">
        <v>76.599999999999994</v>
      </c>
      <c r="L74" s="315">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762</v>
      </c>
      <c r="AQ74" t="s">
        <v>763</v>
      </c>
      <c r="AR74" t="s">
        <v>764</v>
      </c>
      <c r="AT74" t="s">
        <v>765</v>
      </c>
      <c r="AU74" t="s">
        <v>766</v>
      </c>
    </row>
    <row r="75" spans="3:47" x14ac:dyDescent="0.25">
      <c r="C75" s="314">
        <v>40179</v>
      </c>
      <c r="D75" s="73">
        <v>397.48200000000003</v>
      </c>
      <c r="E75">
        <v>406.26299999999998</v>
      </c>
      <c r="F75">
        <v>407.63</v>
      </c>
      <c r="G75">
        <v>410.03</v>
      </c>
      <c r="H75">
        <v>413.12799999999999</v>
      </c>
      <c r="J75">
        <v>7.5246000000000004</v>
      </c>
      <c r="K75" s="11">
        <v>74.31</v>
      </c>
      <c r="L75" s="315">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20">
        <f>(Z75-M75)/$AN$8 *10</f>
        <v>115.30451713395638</v>
      </c>
      <c r="AR75" s="320">
        <f>(AA75-N75)/$AN$9*10</f>
        <v>75.7600558659218</v>
      </c>
      <c r="AT75">
        <f>AQ75*$AN$8/1000</f>
        <v>3.7012749999999999</v>
      </c>
      <c r="AU75">
        <f>AR75*$AN$9/1000</f>
        <v>2.7122100000000002</v>
      </c>
    </row>
    <row r="76" spans="3:47" x14ac:dyDescent="0.25">
      <c r="C76" s="314">
        <v>40210</v>
      </c>
      <c r="D76" s="73">
        <v>415.48200000000003</v>
      </c>
      <c r="E76">
        <v>424.26299999999998</v>
      </c>
      <c r="F76">
        <v>417.63</v>
      </c>
      <c r="G76">
        <v>420.03</v>
      </c>
      <c r="H76">
        <v>418.12799999999999</v>
      </c>
      <c r="J76">
        <v>7.4734999999999996</v>
      </c>
      <c r="K76" s="11">
        <v>76.84</v>
      </c>
      <c r="L76" s="315">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20">
        <f t="shared" ref="AQ76:AQ110" si="15">(Z76-M76)/$AN$8 *10</f>
        <v>115.30451713395638</v>
      </c>
      <c r="AR76" s="320">
        <f t="shared" ref="AR76:AR110" si="16">(AA76-N76)/$AN$9*10</f>
        <v>76.458379888268155</v>
      </c>
      <c r="AT76">
        <f t="shared" ref="AT76:AT110" si="17">AQ76*$AN$8/1000</f>
        <v>3.7012749999999999</v>
      </c>
      <c r="AU76">
        <f t="shared" ref="AU76:AU110" si="18">AR76*$AN$9/1000</f>
        <v>2.7372099999999997</v>
      </c>
    </row>
    <row r="77" spans="3:47" x14ac:dyDescent="0.25">
      <c r="C77" s="314">
        <v>40238</v>
      </c>
      <c r="D77" s="73">
        <v>421.78199999999998</v>
      </c>
      <c r="E77">
        <v>430.56299999999999</v>
      </c>
      <c r="F77">
        <v>421.63</v>
      </c>
      <c r="G77">
        <v>424.03</v>
      </c>
      <c r="H77">
        <v>416.12799999999999</v>
      </c>
      <c r="J77">
        <v>7.6901999999999999</v>
      </c>
      <c r="K77" s="11">
        <v>73.17</v>
      </c>
      <c r="L77" s="315">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20">
        <f t="shared" si="15"/>
        <v>115.21105919003114</v>
      </c>
      <c r="AR77" s="320">
        <f>(AA77-N77)/$AN$9*10</f>
        <v>77.296368715083801</v>
      </c>
      <c r="AT77">
        <f t="shared" si="17"/>
        <v>3.6982749999999998</v>
      </c>
      <c r="AU77">
        <f t="shared" si="18"/>
        <v>2.7672099999999999</v>
      </c>
    </row>
    <row r="78" spans="3:47" x14ac:dyDescent="0.25">
      <c r="C78" s="314">
        <v>40269</v>
      </c>
      <c r="D78" s="73">
        <v>445.28199999999998</v>
      </c>
      <c r="E78">
        <v>453.06299999999999</v>
      </c>
      <c r="F78">
        <v>444.63</v>
      </c>
      <c r="G78">
        <v>447.03</v>
      </c>
      <c r="H78">
        <v>437.12799999999999</v>
      </c>
      <c r="J78">
        <v>7.4752999999999998</v>
      </c>
      <c r="K78" s="11">
        <v>78.89</v>
      </c>
      <c r="L78" s="315">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20">
        <f t="shared" si="15"/>
        <v>123.10306334371757</v>
      </c>
      <c r="AR78" s="320">
        <f t="shared" si="16"/>
        <v>84.698603351955327</v>
      </c>
      <c r="AT78">
        <f t="shared" si="17"/>
        <v>3.9516083333333341</v>
      </c>
      <c r="AU78">
        <f t="shared" si="18"/>
        <v>3.0322100000000005</v>
      </c>
    </row>
    <row r="79" spans="3:47" x14ac:dyDescent="0.25">
      <c r="C79" s="314">
        <v>40299</v>
      </c>
      <c r="D79" s="73">
        <v>457.28199999999998</v>
      </c>
      <c r="E79">
        <v>465.06299999999999</v>
      </c>
      <c r="F79">
        <v>472.63</v>
      </c>
      <c r="G79">
        <v>475.03</v>
      </c>
      <c r="H79">
        <v>467.12880000000001</v>
      </c>
      <c r="J79">
        <v>7.3749000000000002</v>
      </c>
      <c r="K79" s="11">
        <v>85.75</v>
      </c>
      <c r="L79" s="315">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20">
        <f t="shared" si="15"/>
        <v>123.62227414330218</v>
      </c>
      <c r="AR79" s="320">
        <f t="shared" si="16"/>
        <v>84.768324022346363</v>
      </c>
      <c r="AT79">
        <f t="shared" si="17"/>
        <v>3.9682750000000002</v>
      </c>
      <c r="AU79">
        <f t="shared" si="18"/>
        <v>3.0347059999999995</v>
      </c>
    </row>
    <row r="80" spans="3:47" x14ac:dyDescent="0.25">
      <c r="C80" s="314">
        <v>40330</v>
      </c>
      <c r="D80" s="73">
        <v>430.28199999999998</v>
      </c>
      <c r="E80">
        <v>438.06299999999999</v>
      </c>
      <c r="F80">
        <v>457.63</v>
      </c>
      <c r="G80">
        <v>460.03</v>
      </c>
      <c r="H80">
        <v>454.12799999999999</v>
      </c>
      <c r="J80">
        <v>7.6574999999999998</v>
      </c>
      <c r="K80" s="11">
        <v>76.3</v>
      </c>
      <c r="L80" s="315">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20">
        <f t="shared" si="15"/>
        <v>123.62227414330218</v>
      </c>
      <c r="AR80" s="320">
        <f t="shared" si="16"/>
        <v>84.489106145251398</v>
      </c>
      <c r="AT80">
        <f t="shared" si="17"/>
        <v>3.9682750000000002</v>
      </c>
      <c r="AU80">
        <f t="shared" si="18"/>
        <v>3.0247100000000002</v>
      </c>
    </row>
    <row r="81" spans="3:47" x14ac:dyDescent="0.25">
      <c r="C81" s="314">
        <v>40360</v>
      </c>
      <c r="D81" s="73">
        <v>415.28199999999998</v>
      </c>
      <c r="E81">
        <v>420.06299999999999</v>
      </c>
      <c r="F81">
        <v>442.63</v>
      </c>
      <c r="G81">
        <v>444.03</v>
      </c>
      <c r="H81">
        <v>442.12799999999999</v>
      </c>
      <c r="J81">
        <v>7.6707999999999998</v>
      </c>
      <c r="K81" s="11">
        <v>74.61</v>
      </c>
      <c r="L81" s="315">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20">
        <f t="shared" si="15"/>
        <v>123.46651090342678</v>
      </c>
      <c r="AR81" s="320">
        <f t="shared" si="16"/>
        <v>84.209776536312845</v>
      </c>
      <c r="AT81">
        <f t="shared" si="17"/>
        <v>3.9632749999999994</v>
      </c>
      <c r="AU81">
        <f t="shared" si="18"/>
        <v>3.0147099999999996</v>
      </c>
    </row>
    <row r="82" spans="3:47" x14ac:dyDescent="0.25">
      <c r="C82" s="314">
        <v>40391</v>
      </c>
      <c r="D82" s="73">
        <v>405.28199999999998</v>
      </c>
      <c r="E82">
        <v>410.06299999999999</v>
      </c>
      <c r="F82">
        <v>429.63</v>
      </c>
      <c r="G82">
        <v>431.03</v>
      </c>
      <c r="H82">
        <v>427.18200000000002</v>
      </c>
      <c r="J82">
        <v>7.5757000000000003</v>
      </c>
      <c r="K82" s="11">
        <v>78.680000000000007</v>
      </c>
      <c r="L82" s="315">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20">
        <f t="shared" si="15"/>
        <v>123.46651090342678</v>
      </c>
      <c r="AR82" s="320">
        <f t="shared" si="16"/>
        <v>84.481564245810063</v>
      </c>
      <c r="AT82">
        <f t="shared" si="17"/>
        <v>3.9632749999999994</v>
      </c>
      <c r="AU82">
        <f t="shared" si="18"/>
        <v>3.0244400000000002</v>
      </c>
    </row>
    <row r="83" spans="3:47" x14ac:dyDescent="0.25">
      <c r="C83" s="314">
        <v>40422</v>
      </c>
      <c r="D83" s="73">
        <v>395.28199999999998</v>
      </c>
      <c r="E83">
        <v>400.06299999999999</v>
      </c>
      <c r="F83">
        <v>429.63</v>
      </c>
      <c r="G83">
        <v>433.03</v>
      </c>
      <c r="H83">
        <v>422.12799999999999</v>
      </c>
      <c r="J83">
        <v>7.3178000000000001</v>
      </c>
      <c r="K83" s="11">
        <v>77.39</v>
      </c>
      <c r="L83" s="315">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20">
        <f t="shared" si="15"/>
        <v>123.46651090342678</v>
      </c>
      <c r="AR83" s="320">
        <f t="shared" si="16"/>
        <v>84.908100558659228</v>
      </c>
      <c r="AT83">
        <f t="shared" si="17"/>
        <v>3.9632749999999994</v>
      </c>
      <c r="AU83">
        <f t="shared" si="18"/>
        <v>3.0397099999999999</v>
      </c>
    </row>
    <row r="84" spans="3:47" x14ac:dyDescent="0.25">
      <c r="C84" s="314">
        <v>40452</v>
      </c>
      <c r="D84" s="73">
        <v>390.78199999999998</v>
      </c>
      <c r="E84">
        <v>396.56299999999999</v>
      </c>
      <c r="F84">
        <v>426.63</v>
      </c>
      <c r="G84">
        <v>430.03</v>
      </c>
      <c r="H84">
        <v>421.12799999999999</v>
      </c>
      <c r="J84">
        <v>7.1859000000000002</v>
      </c>
      <c r="K84" s="11">
        <v>77.37</v>
      </c>
      <c r="L84" s="315">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20">
        <f t="shared" si="15"/>
        <v>126.16640706126685</v>
      </c>
      <c r="AR84" s="320">
        <f t="shared" si="16"/>
        <v>84.628770949720689</v>
      </c>
      <c r="AT84">
        <f t="shared" si="17"/>
        <v>4.0499416666666663</v>
      </c>
      <c r="AU84">
        <f t="shared" si="18"/>
        <v>3.0297100000000006</v>
      </c>
    </row>
    <row r="85" spans="3:47" x14ac:dyDescent="0.25">
      <c r="C85" s="314">
        <v>40483</v>
      </c>
      <c r="D85" s="73">
        <v>410.78199999999998</v>
      </c>
      <c r="E85">
        <v>416.56299999999999</v>
      </c>
      <c r="F85">
        <v>437.63</v>
      </c>
      <c r="G85">
        <v>442.03</v>
      </c>
      <c r="H85">
        <v>435.12799999999999</v>
      </c>
      <c r="J85">
        <v>6.9374000000000002</v>
      </c>
      <c r="K85" s="11">
        <v>82.73</v>
      </c>
      <c r="L85" s="315">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20">
        <f t="shared" si="15"/>
        <v>126.16640706126685</v>
      </c>
      <c r="AR85" s="320">
        <f t="shared" si="16"/>
        <v>84.070111731843582</v>
      </c>
      <c r="AT85">
        <f t="shared" si="17"/>
        <v>4.0499416666666663</v>
      </c>
      <c r="AU85">
        <f t="shared" si="18"/>
        <v>3.0097100000000001</v>
      </c>
    </row>
    <row r="86" spans="3:47" x14ac:dyDescent="0.25">
      <c r="C86" s="314">
        <v>40513</v>
      </c>
      <c r="D86" s="73">
        <v>423.78199999999998</v>
      </c>
      <c r="E86">
        <v>429.56299999999999</v>
      </c>
      <c r="F86">
        <v>451.63</v>
      </c>
      <c r="G86">
        <v>457.03</v>
      </c>
      <c r="H86">
        <v>449.12799999999999</v>
      </c>
      <c r="J86">
        <v>6.9767000000000001</v>
      </c>
      <c r="K86" s="11">
        <v>85.15</v>
      </c>
      <c r="L86" s="315">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20">
        <f t="shared" si="15"/>
        <v>126.16640706126685</v>
      </c>
      <c r="AR86" s="320">
        <f t="shared" si="16"/>
        <v>83.930446927374319</v>
      </c>
      <c r="AT86">
        <f t="shared" si="17"/>
        <v>4.0499416666666663</v>
      </c>
      <c r="AU86">
        <f t="shared" si="18"/>
        <v>3.0047100000000007</v>
      </c>
    </row>
    <row r="87" spans="3:47" x14ac:dyDescent="0.25">
      <c r="C87" s="314">
        <v>40544</v>
      </c>
      <c r="D87" s="73">
        <v>449.18099999999998</v>
      </c>
      <c r="E87">
        <v>453.94900000000001</v>
      </c>
      <c r="F87">
        <v>471.63</v>
      </c>
      <c r="G87">
        <v>477.03</v>
      </c>
      <c r="H87">
        <v>467.12799999999999</v>
      </c>
      <c r="J87">
        <v>6.9009999999999998</v>
      </c>
      <c r="K87" s="11">
        <v>90.77</v>
      </c>
      <c r="L87" s="315">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20">
        <f t="shared" si="15"/>
        <v>125.68068535825545</v>
      </c>
      <c r="AR87" s="320">
        <f t="shared" si="16"/>
        <v>85.215642458100604</v>
      </c>
      <c r="AT87">
        <f t="shared" si="17"/>
        <v>4.0343499999999999</v>
      </c>
      <c r="AU87">
        <f t="shared" si="18"/>
        <v>3.050720000000001</v>
      </c>
    </row>
    <row r="88" spans="3:47" x14ac:dyDescent="0.25">
      <c r="C88" s="314">
        <v>40575</v>
      </c>
      <c r="D88" s="73">
        <v>475.18099999999998</v>
      </c>
      <c r="E88">
        <v>479.94900000000001</v>
      </c>
      <c r="F88">
        <v>501.63</v>
      </c>
      <c r="G88">
        <v>509.03</v>
      </c>
      <c r="H88">
        <v>499.12799999999999</v>
      </c>
      <c r="J88">
        <v>6.8982999999999999</v>
      </c>
      <c r="K88" s="11">
        <v>95.97</v>
      </c>
      <c r="L88" s="315">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20">
        <f t="shared" si="15"/>
        <v>127.23831775700933</v>
      </c>
      <c r="AR88" s="320">
        <f t="shared" si="16"/>
        <v>84.656983240223497</v>
      </c>
      <c r="AT88">
        <f t="shared" si="17"/>
        <v>4.0843499999999997</v>
      </c>
      <c r="AU88">
        <f t="shared" si="18"/>
        <v>3.0307200000000005</v>
      </c>
    </row>
    <row r="89" spans="3:47" x14ac:dyDescent="0.25">
      <c r="C89" s="314">
        <v>40603</v>
      </c>
      <c r="D89" s="73">
        <v>518.18100000000004</v>
      </c>
      <c r="E89">
        <v>522.94899999999996</v>
      </c>
      <c r="F89">
        <v>565.63</v>
      </c>
      <c r="G89">
        <v>572.03</v>
      </c>
      <c r="H89">
        <v>569.12800000000004</v>
      </c>
      <c r="J89">
        <v>7.2333999999999996</v>
      </c>
      <c r="K89" s="11">
        <v>102.37</v>
      </c>
      <c r="L89" s="315">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20">
        <f t="shared" si="15"/>
        <v>127.23831775700931</v>
      </c>
      <c r="AR89" s="320">
        <f t="shared" si="16"/>
        <v>83.958659217877141</v>
      </c>
      <c r="AT89">
        <f t="shared" si="17"/>
        <v>4.0843499999999988</v>
      </c>
      <c r="AU89">
        <f t="shared" si="18"/>
        <v>3.0057200000000015</v>
      </c>
    </row>
    <row r="90" spans="3:47" x14ac:dyDescent="0.25">
      <c r="C90" s="314">
        <v>40634</v>
      </c>
      <c r="D90" s="73">
        <v>546.38099999999997</v>
      </c>
      <c r="E90">
        <v>552.149</v>
      </c>
      <c r="F90">
        <v>610.63</v>
      </c>
      <c r="G90">
        <v>616.03</v>
      </c>
      <c r="H90">
        <v>609.12800000000004</v>
      </c>
      <c r="J90">
        <v>6.9512</v>
      </c>
      <c r="K90" s="11">
        <v>114.41</v>
      </c>
      <c r="L90" s="315">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20">
        <f t="shared" si="15"/>
        <v>134.39304257528556</v>
      </c>
      <c r="AR90" s="320">
        <f t="shared" si="16"/>
        <v>90.969832402234658</v>
      </c>
      <c r="AT90">
        <f t="shared" si="17"/>
        <v>4.3140166666666664</v>
      </c>
      <c r="AU90">
        <f t="shared" si="18"/>
        <v>3.2567200000000005</v>
      </c>
    </row>
    <row r="91" spans="3:47" x14ac:dyDescent="0.25">
      <c r="C91" s="314">
        <v>40664</v>
      </c>
      <c r="D91" s="73">
        <v>575.38099999999997</v>
      </c>
      <c r="E91">
        <v>581.149</v>
      </c>
      <c r="F91">
        <v>626.63</v>
      </c>
      <c r="G91">
        <v>632.03</v>
      </c>
      <c r="H91">
        <v>624.12800000000004</v>
      </c>
      <c r="J91">
        <v>6.7701000000000002</v>
      </c>
      <c r="K91" s="11">
        <v>123.49</v>
      </c>
      <c r="L91" s="315">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20">
        <f t="shared" si="15"/>
        <v>134.39304257528556</v>
      </c>
      <c r="AR91" s="320">
        <f t="shared" si="16"/>
        <v>91.109497206703921</v>
      </c>
      <c r="AT91">
        <f t="shared" si="17"/>
        <v>4.3140166666666664</v>
      </c>
      <c r="AU91">
        <f t="shared" si="18"/>
        <v>3.2617200000000004</v>
      </c>
    </row>
    <row r="92" spans="3:47" x14ac:dyDescent="0.25">
      <c r="C92" s="314">
        <v>40695</v>
      </c>
      <c r="D92" s="73">
        <v>573.38099999999997</v>
      </c>
      <c r="E92">
        <v>579.149</v>
      </c>
      <c r="F92">
        <v>588.63</v>
      </c>
      <c r="G92">
        <v>595.03</v>
      </c>
      <c r="H92">
        <v>592.12800000000004</v>
      </c>
      <c r="J92">
        <v>6.8516000000000004</v>
      </c>
      <c r="K92" s="11">
        <v>116.15</v>
      </c>
      <c r="L92" s="315">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20">
        <f t="shared" si="15"/>
        <v>134.39304257528556</v>
      </c>
      <c r="AR92" s="320">
        <f t="shared" si="16"/>
        <v>90.131843575419012</v>
      </c>
      <c r="AT92">
        <f t="shared" si="17"/>
        <v>4.3140166666666664</v>
      </c>
      <c r="AU92">
        <f t="shared" si="18"/>
        <v>3.2267200000000003</v>
      </c>
    </row>
    <row r="93" spans="3:47" x14ac:dyDescent="0.25">
      <c r="C93" s="314">
        <v>40725</v>
      </c>
      <c r="D93" s="73">
        <v>540.38099999999997</v>
      </c>
      <c r="E93">
        <v>548.149</v>
      </c>
      <c r="F93">
        <v>577.63</v>
      </c>
      <c r="G93">
        <v>583.03</v>
      </c>
      <c r="H93">
        <v>580.12800000000004</v>
      </c>
      <c r="J93">
        <v>6.8353000000000002</v>
      </c>
      <c r="K93" s="11">
        <v>114.19</v>
      </c>
      <c r="L93" s="315">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20">
        <f t="shared" si="15"/>
        <v>134.49688473520249</v>
      </c>
      <c r="AR93" s="320">
        <f t="shared" si="16"/>
        <v>90.411173184357551</v>
      </c>
      <c r="AT93">
        <f t="shared" si="17"/>
        <v>4.3173500000000002</v>
      </c>
      <c r="AU93">
        <f t="shared" si="18"/>
        <v>3.23672</v>
      </c>
    </row>
    <row r="94" spans="3:47" x14ac:dyDescent="0.25">
      <c r="C94" s="314">
        <v>40756</v>
      </c>
      <c r="D94" s="73">
        <v>557.38099999999997</v>
      </c>
      <c r="E94">
        <v>565.149</v>
      </c>
      <c r="F94">
        <v>592.63</v>
      </c>
      <c r="G94">
        <v>598.03</v>
      </c>
      <c r="H94">
        <v>590.12800000000004</v>
      </c>
      <c r="J94">
        <v>6.8133999999999997</v>
      </c>
      <c r="K94" s="11">
        <v>116.88</v>
      </c>
      <c r="L94" s="315">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20">
        <f t="shared" si="15"/>
        <v>134.49688473520249</v>
      </c>
      <c r="AR94" s="320">
        <f t="shared" si="16"/>
        <v>91.109497206703921</v>
      </c>
      <c r="AT94">
        <f t="shared" si="17"/>
        <v>4.3173500000000002</v>
      </c>
      <c r="AU94">
        <f t="shared" si="18"/>
        <v>3.2617200000000004</v>
      </c>
    </row>
    <row r="95" spans="3:47" x14ac:dyDescent="0.25">
      <c r="C95" s="314">
        <v>40787</v>
      </c>
      <c r="D95" s="73">
        <v>566.38099999999997</v>
      </c>
      <c r="E95">
        <v>574.149</v>
      </c>
      <c r="F95">
        <v>592.63</v>
      </c>
      <c r="G95">
        <v>598.03</v>
      </c>
      <c r="H95">
        <v>588.12800000000004</v>
      </c>
      <c r="J95">
        <v>7.0590000000000002</v>
      </c>
      <c r="K95" s="11">
        <v>110.67</v>
      </c>
      <c r="L95" s="315">
        <f t="shared" si="19"/>
        <v>781.21953000000008</v>
      </c>
      <c r="M95" s="73">
        <f t="shared" si="23"/>
        <v>570.26499999999999</v>
      </c>
      <c r="N95" s="11">
        <f t="shared" si="20"/>
        <v>593.07899999999995</v>
      </c>
      <c r="O95" s="73">
        <f t="shared" si="21"/>
        <v>558.10574801454095</v>
      </c>
      <c r="P95">
        <f t="shared" si="22"/>
        <v>591.64473073673514</v>
      </c>
      <c r="S95" s="321">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20">
        <f t="shared" si="15"/>
        <v>134.49688473520249</v>
      </c>
      <c r="AR95" s="320">
        <f t="shared" si="16"/>
        <v>91.388826815642474</v>
      </c>
      <c r="AT95">
        <f t="shared" si="17"/>
        <v>4.3173500000000002</v>
      </c>
      <c r="AU95">
        <f t="shared" si="18"/>
        <v>3.2717200000000002</v>
      </c>
    </row>
    <row r="96" spans="3:47" x14ac:dyDescent="0.25">
      <c r="C96" s="314">
        <v>40817</v>
      </c>
      <c r="D96" s="73">
        <v>599.38099999999997</v>
      </c>
      <c r="E96">
        <v>606.149</v>
      </c>
      <c r="F96">
        <v>627.63</v>
      </c>
      <c r="G96">
        <v>635.03</v>
      </c>
      <c r="H96">
        <v>618.12800000000004</v>
      </c>
      <c r="J96">
        <v>7.5656999999999996</v>
      </c>
      <c r="K96" s="11">
        <v>113.61</v>
      </c>
      <c r="L96" s="315">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20">
        <f t="shared" si="15"/>
        <v>135.69106957424711</v>
      </c>
      <c r="AR96" s="320">
        <f t="shared" si="16"/>
        <v>91.80782122905029</v>
      </c>
      <c r="AT96">
        <f t="shared" si="17"/>
        <v>4.3556833333333325</v>
      </c>
      <c r="AU96">
        <f t="shared" si="18"/>
        <v>3.2867200000000003</v>
      </c>
    </row>
    <row r="97" spans="3:47" x14ac:dyDescent="0.25">
      <c r="C97" s="314">
        <v>40848</v>
      </c>
      <c r="D97" s="73">
        <v>622.38099999999997</v>
      </c>
      <c r="E97">
        <v>629.149</v>
      </c>
      <c r="F97">
        <v>663.63</v>
      </c>
      <c r="G97">
        <v>671.03</v>
      </c>
      <c r="H97">
        <v>659.12800000000004</v>
      </c>
      <c r="J97">
        <v>8.0012000000000008</v>
      </c>
      <c r="K97" s="11">
        <v>109.28</v>
      </c>
      <c r="L97" s="315">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20">
        <f t="shared" si="15"/>
        <v>135.69106957424711</v>
      </c>
      <c r="AR97" s="320">
        <f t="shared" si="16"/>
        <v>91.109497206703921</v>
      </c>
      <c r="AT97">
        <f t="shared" si="17"/>
        <v>4.3556833333333325</v>
      </c>
      <c r="AU97">
        <f t="shared" si="18"/>
        <v>3.2617200000000004</v>
      </c>
    </row>
    <row r="98" spans="3:47" x14ac:dyDescent="0.25">
      <c r="C98" s="314">
        <v>40878</v>
      </c>
      <c r="D98" s="73">
        <v>596.54999999999995</v>
      </c>
      <c r="E98">
        <v>603.54999999999995</v>
      </c>
      <c r="F98">
        <v>702.63</v>
      </c>
      <c r="G98">
        <v>707.03</v>
      </c>
      <c r="H98">
        <v>694.12800000000004</v>
      </c>
      <c r="J98">
        <v>8.1397999999999993</v>
      </c>
      <c r="K98" s="11">
        <v>110.51</v>
      </c>
      <c r="L98" s="315">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20">
        <f t="shared" si="15"/>
        <v>140.27518172377984</v>
      </c>
      <c r="AR98" s="320">
        <f t="shared" si="16"/>
        <v>94.388547486033545</v>
      </c>
      <c r="AT98">
        <f t="shared" si="17"/>
        <v>4.5028333333333332</v>
      </c>
      <c r="AU98">
        <f t="shared" si="18"/>
        <v>3.3791100000000007</v>
      </c>
    </row>
    <row r="99" spans="3:47" x14ac:dyDescent="0.25">
      <c r="C99" s="314">
        <v>40909</v>
      </c>
      <c r="D99" s="73">
        <v>590.54999999999995</v>
      </c>
      <c r="E99">
        <v>598.54999999999995</v>
      </c>
      <c r="F99">
        <v>681.63</v>
      </c>
      <c r="G99">
        <v>687.03</v>
      </c>
      <c r="H99">
        <v>669.12800000000004</v>
      </c>
      <c r="J99">
        <v>8.2121999999999993</v>
      </c>
      <c r="K99" s="11">
        <v>107.96</v>
      </c>
      <c r="L99" s="315">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20">
        <f t="shared" si="15"/>
        <v>140.32710280373831</v>
      </c>
      <c r="AR99" s="320">
        <f t="shared" si="16"/>
        <v>94.807541899441361</v>
      </c>
      <c r="AT99">
        <f t="shared" si="17"/>
        <v>4.5045000000000002</v>
      </c>
      <c r="AU99">
        <f t="shared" si="18"/>
        <v>3.3941100000000004</v>
      </c>
    </row>
    <row r="100" spans="3:47" x14ac:dyDescent="0.25">
      <c r="C100" s="314">
        <v>40940</v>
      </c>
      <c r="D100" s="73">
        <v>624.54999999999995</v>
      </c>
      <c r="E100">
        <v>632.54999999999995</v>
      </c>
      <c r="F100">
        <v>680.63</v>
      </c>
      <c r="G100">
        <v>685.03</v>
      </c>
      <c r="H100">
        <v>666.12800000000004</v>
      </c>
      <c r="J100">
        <v>8.0840999999999994</v>
      </c>
      <c r="K100" s="11">
        <v>110.42</v>
      </c>
      <c r="L100" s="315">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20">
        <f t="shared" si="15"/>
        <v>140.32710280373831</v>
      </c>
      <c r="AR100" s="320">
        <f t="shared" si="16"/>
        <v>95.226536312849177</v>
      </c>
      <c r="AT100">
        <f t="shared" si="17"/>
        <v>4.5045000000000002</v>
      </c>
      <c r="AU100">
        <f t="shared" si="18"/>
        <v>3.4091100000000001</v>
      </c>
    </row>
    <row r="101" spans="3:47" x14ac:dyDescent="0.25">
      <c r="C101" s="314">
        <v>40969</v>
      </c>
      <c r="D101" s="73">
        <v>648.16999999999996</v>
      </c>
      <c r="E101">
        <v>656.17</v>
      </c>
      <c r="F101">
        <v>686.63</v>
      </c>
      <c r="G101">
        <v>690.03</v>
      </c>
      <c r="H101">
        <v>670.12800000000004</v>
      </c>
      <c r="I101">
        <v>1507.415</v>
      </c>
      <c r="J101">
        <v>7.6790000000000003</v>
      </c>
      <c r="K101" s="11">
        <v>126.39</v>
      </c>
      <c r="L101" s="315">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20">
        <f t="shared" si="15"/>
        <v>141.69158878504672</v>
      </c>
      <c r="AR101" s="320">
        <f t="shared" si="16"/>
        <v>96.868994413407819</v>
      </c>
      <c r="AT101">
        <f t="shared" si="17"/>
        <v>4.5483000000000002</v>
      </c>
      <c r="AU101">
        <f t="shared" si="18"/>
        <v>3.4679099999999998</v>
      </c>
    </row>
    <row r="102" spans="3:47" x14ac:dyDescent="0.25">
      <c r="C102" s="314">
        <v>41000</v>
      </c>
      <c r="D102" s="73">
        <v>687.57</v>
      </c>
      <c r="E102">
        <v>694.57</v>
      </c>
      <c r="F102">
        <v>706.63</v>
      </c>
      <c r="G102">
        <v>712.03</v>
      </c>
      <c r="H102">
        <v>691.12800000000004</v>
      </c>
      <c r="I102">
        <v>1559.3980000000001</v>
      </c>
      <c r="J102">
        <v>7.6193</v>
      </c>
      <c r="K102" s="11">
        <v>125.42</v>
      </c>
      <c r="L102" s="315">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20">
        <f t="shared" si="15"/>
        <v>151.79543094496361</v>
      </c>
      <c r="AR102" s="320">
        <f t="shared" si="16"/>
        <v>104.76005586592179</v>
      </c>
      <c r="AT102">
        <f t="shared" si="17"/>
        <v>4.872633333333332</v>
      </c>
      <c r="AU102">
        <f t="shared" si="18"/>
        <v>3.7504099999999996</v>
      </c>
    </row>
    <row r="103" spans="3:47" x14ac:dyDescent="0.25">
      <c r="C103" s="314">
        <v>41030</v>
      </c>
      <c r="D103" s="73">
        <v>711.17</v>
      </c>
      <c r="E103">
        <v>718.17</v>
      </c>
      <c r="F103">
        <v>711.63</v>
      </c>
      <c r="G103">
        <v>716.03</v>
      </c>
      <c r="H103">
        <v>700.12800000000004</v>
      </c>
      <c r="I103">
        <v>1583.268</v>
      </c>
      <c r="J103">
        <v>7.8536000000000001</v>
      </c>
      <c r="K103" s="11">
        <v>120.18</v>
      </c>
      <c r="L103" s="315">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20">
        <f t="shared" si="15"/>
        <v>152.64693665628249</v>
      </c>
      <c r="AR103" s="320">
        <f t="shared" si="16"/>
        <v>105.57011173184358</v>
      </c>
      <c r="AT103">
        <f t="shared" si="17"/>
        <v>4.8999666666666677</v>
      </c>
      <c r="AU103">
        <f t="shared" si="18"/>
        <v>3.7794099999999999</v>
      </c>
    </row>
    <row r="104" spans="3:47" x14ac:dyDescent="0.25">
      <c r="C104" s="314">
        <v>41061</v>
      </c>
      <c r="D104" s="73">
        <v>653.99</v>
      </c>
      <c r="E104">
        <v>660.99</v>
      </c>
      <c r="F104">
        <v>684.63</v>
      </c>
      <c r="G104">
        <v>689.03</v>
      </c>
      <c r="H104">
        <v>679.12800000000004</v>
      </c>
      <c r="I104">
        <v>1507.4009999999998</v>
      </c>
      <c r="J104">
        <v>8.1030999999999995</v>
      </c>
      <c r="K104" s="11">
        <v>110.27</v>
      </c>
      <c r="L104" s="315">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20">
        <f t="shared" si="15"/>
        <v>153.32606438213918</v>
      </c>
      <c r="AR104" s="320">
        <f t="shared" si="16"/>
        <v>105.34106145251394</v>
      </c>
      <c r="AT104">
        <f t="shared" si="17"/>
        <v>4.9217666666666684</v>
      </c>
      <c r="AU104">
        <f t="shared" si="18"/>
        <v>3.7712099999999986</v>
      </c>
    </row>
    <row r="105" spans="3:47" x14ac:dyDescent="0.25">
      <c r="C105" s="314">
        <v>41091</v>
      </c>
      <c r="D105" s="73">
        <v>571.57000000000005</v>
      </c>
      <c r="E105">
        <v>582.57000000000005</v>
      </c>
      <c r="F105">
        <v>628.63</v>
      </c>
      <c r="G105">
        <v>634.03</v>
      </c>
      <c r="H105">
        <v>621.12800000000004</v>
      </c>
      <c r="I105">
        <v>1421.42</v>
      </c>
      <c r="J105">
        <v>8.4189000000000007</v>
      </c>
      <c r="K105" s="11">
        <v>95.22</v>
      </c>
      <c r="L105" s="315">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20">
        <f t="shared" si="15"/>
        <v>151.48390446521285</v>
      </c>
      <c r="AR105" s="320">
        <f t="shared" si="16"/>
        <v>103.64273743016761</v>
      </c>
      <c r="AT105">
        <f t="shared" si="17"/>
        <v>4.8626333333333323</v>
      </c>
      <c r="AU105">
        <f t="shared" si="18"/>
        <v>3.7104100000000004</v>
      </c>
    </row>
    <row r="106" spans="3:47" x14ac:dyDescent="0.25">
      <c r="C106" s="314">
        <v>41122</v>
      </c>
      <c r="D106" s="73">
        <v>597.95000000000005</v>
      </c>
      <c r="E106">
        <v>608.95000000000005</v>
      </c>
      <c r="F106">
        <v>647.63</v>
      </c>
      <c r="G106">
        <v>654.03</v>
      </c>
      <c r="H106">
        <v>636.12800000000004</v>
      </c>
      <c r="I106">
        <v>1461.1410000000001</v>
      </c>
      <c r="J106">
        <v>8.2657000000000007</v>
      </c>
      <c r="K106" s="11">
        <v>102.04</v>
      </c>
      <c r="L106" s="315">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20">
        <f t="shared" si="15"/>
        <v>150.11941848390444</v>
      </c>
      <c r="AR106" s="320">
        <f t="shared" si="16"/>
        <v>102.83826815642459</v>
      </c>
      <c r="AT106">
        <f t="shared" si="17"/>
        <v>4.8188333333333331</v>
      </c>
      <c r="AU106">
        <f t="shared" si="18"/>
        <v>3.68161</v>
      </c>
    </row>
    <row r="107" spans="3:47" x14ac:dyDescent="0.25">
      <c r="C107" s="314">
        <v>41153</v>
      </c>
      <c r="D107" s="73">
        <v>687.45</v>
      </c>
      <c r="E107">
        <v>698.45</v>
      </c>
      <c r="F107">
        <v>716.63</v>
      </c>
      <c r="G107">
        <v>723.03</v>
      </c>
      <c r="H107">
        <v>709.12800000000004</v>
      </c>
      <c r="I107">
        <v>1559.6109999999999</v>
      </c>
      <c r="J107">
        <v>8.2758000000000003</v>
      </c>
      <c r="K107" s="11">
        <v>113.51</v>
      </c>
      <c r="L107" s="315">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20">
        <f t="shared" si="15"/>
        <v>151.20976116303214</v>
      </c>
      <c r="AR107" s="320">
        <f t="shared" si="16"/>
        <v>102.27960893854751</v>
      </c>
      <c r="AT107">
        <f t="shared" si="17"/>
        <v>4.8538333333333323</v>
      </c>
      <c r="AU107">
        <f t="shared" si="18"/>
        <v>3.6616100000000005</v>
      </c>
    </row>
    <row r="108" spans="3:47" x14ac:dyDescent="0.25">
      <c r="C108" s="314">
        <v>41183</v>
      </c>
      <c r="D108" s="73">
        <v>695.29</v>
      </c>
      <c r="E108">
        <v>708.29</v>
      </c>
      <c r="F108">
        <v>742.63</v>
      </c>
      <c r="G108">
        <v>750.03</v>
      </c>
      <c r="H108">
        <v>742.12800000000004</v>
      </c>
      <c r="I108">
        <v>1557.1100000000001</v>
      </c>
      <c r="J108">
        <v>8.3074999999999992</v>
      </c>
      <c r="K108" s="11">
        <v>112.96</v>
      </c>
      <c r="L108" s="315">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20">
        <f t="shared" si="15"/>
        <v>155.41329179646939</v>
      </c>
      <c r="AR108" s="320">
        <f t="shared" si="16"/>
        <v>104.83826815642462</v>
      </c>
      <c r="AT108">
        <f t="shared" si="17"/>
        <v>4.9887666666666677</v>
      </c>
      <c r="AU108">
        <f t="shared" si="18"/>
        <v>3.753210000000001</v>
      </c>
    </row>
    <row r="109" spans="3:47" x14ac:dyDescent="0.25">
      <c r="C109" s="314">
        <v>41214</v>
      </c>
      <c r="D109" s="73">
        <v>683.09</v>
      </c>
      <c r="E109">
        <v>696.09</v>
      </c>
      <c r="F109">
        <v>750.63</v>
      </c>
      <c r="G109">
        <v>757.03</v>
      </c>
      <c r="H109">
        <v>745.12800000000004</v>
      </c>
      <c r="I109">
        <v>1557.88</v>
      </c>
      <c r="J109">
        <v>8.6478999999999999</v>
      </c>
      <c r="K109" s="11">
        <v>109.05</v>
      </c>
      <c r="L109" s="315">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20">
        <f t="shared" si="15"/>
        <v>156.09865005192108</v>
      </c>
      <c r="AR109" s="320">
        <f t="shared" si="16"/>
        <v>106.29078212290503</v>
      </c>
      <c r="AT109">
        <f t="shared" si="17"/>
        <v>5.010766666666667</v>
      </c>
      <c r="AU109">
        <f t="shared" si="18"/>
        <v>3.8052099999999998</v>
      </c>
    </row>
    <row r="110" spans="3:47" x14ac:dyDescent="0.25">
      <c r="C110" s="322">
        <v>41244</v>
      </c>
      <c r="D110" s="212">
        <v>660.19</v>
      </c>
      <c r="E110" s="13">
        <v>673.19</v>
      </c>
      <c r="F110" s="13">
        <v>735.63</v>
      </c>
      <c r="G110" s="13">
        <v>741.03</v>
      </c>
      <c r="H110" s="13">
        <v>731.12800000000004</v>
      </c>
      <c r="I110" s="13">
        <v>1531.421</v>
      </c>
      <c r="J110" s="13">
        <v>8.8252000000000006</v>
      </c>
      <c r="K110" s="14">
        <v>109.04</v>
      </c>
      <c r="L110" s="323">
        <f t="shared" si="19"/>
        <v>962.2998080000001</v>
      </c>
      <c r="M110" s="212">
        <f t="shared" si="23"/>
        <v>666.69</v>
      </c>
      <c r="N110" s="14">
        <f t="shared" si="20"/>
        <v>736.07899999999995</v>
      </c>
      <c r="O110" s="212">
        <f t="shared" si="21"/>
        <v>683.28856875772226</v>
      </c>
      <c r="P110" s="13">
        <f t="shared" si="22"/>
        <v>730.31038839222856</v>
      </c>
      <c r="Q110" s="13"/>
      <c r="R110" s="13"/>
      <c r="S110" s="212">
        <v>1178</v>
      </c>
      <c r="T110" s="13">
        <v>1166</v>
      </c>
      <c r="U110" s="13">
        <v>1201</v>
      </c>
      <c r="V110" s="13">
        <v>1138.95</v>
      </c>
      <c r="W110" s="13">
        <v>1114.25</v>
      </c>
      <c r="X110" s="13">
        <v>824.12800000000004</v>
      </c>
      <c r="Y110" s="14">
        <v>866.02800000000002</v>
      </c>
      <c r="Z110" s="212">
        <f t="shared" si="24"/>
        <v>1181.6666666666667</v>
      </c>
      <c r="AA110" s="13">
        <f t="shared" si="25"/>
        <v>1126.5999999999999</v>
      </c>
      <c r="AB110" s="13">
        <f t="shared" si="26"/>
        <v>845.07799999999997</v>
      </c>
      <c r="AC110" s="13">
        <v>2238</v>
      </c>
      <c r="AD110" s="212">
        <f t="shared" si="12"/>
        <v>1166.9405710778692</v>
      </c>
      <c r="AE110" s="13">
        <f t="shared" si="7"/>
        <v>1097.4533154780361</v>
      </c>
      <c r="AF110" s="13">
        <f t="shared" si="8"/>
        <v>827.47871994994523</v>
      </c>
      <c r="AG110" s="13"/>
      <c r="AH110" s="213">
        <f t="shared" si="13"/>
        <v>1144.6045809829961</v>
      </c>
      <c r="AI110" s="214">
        <f t="shared" si="9"/>
        <v>1105.1855271623785</v>
      </c>
      <c r="AJ110" s="214">
        <f t="shared" si="10"/>
        <v>836.11062143307572</v>
      </c>
      <c r="AK110" s="14"/>
      <c r="AL110">
        <f t="shared" si="14"/>
        <v>156.47151349593497</v>
      </c>
      <c r="AQ110" s="320">
        <f t="shared" si="15"/>
        <v>160.42886812045691</v>
      </c>
      <c r="AR110" s="320">
        <f t="shared" si="16"/>
        <v>109.08407821229049</v>
      </c>
      <c r="AT110">
        <f t="shared" si="17"/>
        <v>5.1497666666666673</v>
      </c>
      <c r="AU110">
        <f t="shared" si="18"/>
        <v>3.905209999999999</v>
      </c>
    </row>
    <row r="111" spans="3:47" x14ac:dyDescent="0.25">
      <c r="E111" s="324">
        <v>884.85</v>
      </c>
      <c r="F111" s="324">
        <v>769</v>
      </c>
    </row>
    <row r="112" spans="3:47" x14ac:dyDescent="0.25">
      <c r="AM112" t="s">
        <v>485</v>
      </c>
      <c r="AN112" t="s">
        <v>488</v>
      </c>
      <c r="AO112">
        <v>0.82</v>
      </c>
    </row>
    <row r="113" spans="3:41" x14ac:dyDescent="0.25">
      <c r="AM113" t="s">
        <v>255</v>
      </c>
      <c r="AN113" t="s">
        <v>255</v>
      </c>
    </row>
    <row r="114" spans="3:41" x14ac:dyDescent="0.25">
      <c r="C114" s="22">
        <v>44197</v>
      </c>
      <c r="D114">
        <v>512.16999999999996</v>
      </c>
      <c r="E114">
        <v>519.16999999999996</v>
      </c>
      <c r="F114">
        <v>541.63</v>
      </c>
      <c r="G114">
        <v>543.03</v>
      </c>
      <c r="H114">
        <v>527.12800000000004</v>
      </c>
      <c r="I114">
        <v>926.43899999999996</v>
      </c>
      <c r="J114">
        <v>14.939</v>
      </c>
      <c r="K114">
        <v>49.2</v>
      </c>
      <c r="L114" s="323">
        <f t="shared" ref="L114:L116" si="27">K114*J114</f>
        <v>734.99880000000007</v>
      </c>
      <c r="M114" s="212">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3">
        <f t="shared" si="27"/>
        <v>801.11969999999997</v>
      </c>
      <c r="M115" s="212">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3">
        <f t="shared" si="27"/>
        <v>885.78</v>
      </c>
      <c r="M116" s="212">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7" t="s">
        <v>1050</v>
      </c>
      <c r="C2" s="297"/>
      <c r="D2" s="297"/>
      <c r="E2" s="297"/>
      <c r="F2" s="297"/>
    </row>
    <row r="3" spans="2:55" ht="15.75" thickTop="1" x14ac:dyDescent="0.25"/>
    <row r="9" spans="2:55" x14ac:dyDescent="0.25">
      <c r="G9" t="s">
        <v>768</v>
      </c>
      <c r="H9" t="s">
        <v>769</v>
      </c>
      <c r="I9" t="s">
        <v>770</v>
      </c>
    </row>
    <row r="10" spans="2:55" x14ac:dyDescent="0.25">
      <c r="B10" t="s">
        <v>771</v>
      </c>
      <c r="G10">
        <v>2009</v>
      </c>
      <c r="H10">
        <v>60.4</v>
      </c>
      <c r="I10" s="300">
        <f>H10*[11]Deflator!U20/[11]Deflator!T20</f>
        <v>61.096005114485806</v>
      </c>
      <c r="V10" t="s">
        <v>772</v>
      </c>
      <c r="AO10" t="s">
        <v>773</v>
      </c>
    </row>
    <row r="12" spans="2:55" ht="15.75" thickBot="1" x14ac:dyDescent="0.3">
      <c r="B12" t="s">
        <v>774</v>
      </c>
      <c r="D12" t="s">
        <v>775</v>
      </c>
      <c r="I12" t="s">
        <v>776</v>
      </c>
      <c r="N12">
        <v>450</v>
      </c>
      <c r="T12" t="s">
        <v>777</v>
      </c>
      <c r="V12" t="s">
        <v>775</v>
      </c>
      <c r="AA12" t="s">
        <v>776</v>
      </c>
      <c r="AF12">
        <v>450</v>
      </c>
      <c r="AM12" t="s">
        <v>778</v>
      </c>
      <c r="AO12" t="s">
        <v>775</v>
      </c>
      <c r="AT12" t="s">
        <v>776</v>
      </c>
      <c r="AY12">
        <v>450</v>
      </c>
    </row>
    <row r="13" spans="2:55" x14ac:dyDescent="0.25">
      <c r="C13">
        <v>2010</v>
      </c>
      <c r="D13" s="104">
        <v>2015</v>
      </c>
      <c r="E13" s="224">
        <v>2020</v>
      </c>
      <c r="F13" s="224">
        <v>2025</v>
      </c>
      <c r="G13" s="224">
        <v>2030</v>
      </c>
      <c r="H13" s="225">
        <v>2035</v>
      </c>
      <c r="I13" s="104">
        <v>2015</v>
      </c>
      <c r="J13" s="224">
        <v>2020</v>
      </c>
      <c r="K13" s="224">
        <v>2025</v>
      </c>
      <c r="L13" s="224">
        <v>2030</v>
      </c>
      <c r="M13" s="225">
        <v>2035</v>
      </c>
      <c r="N13" s="104">
        <v>2015</v>
      </c>
      <c r="O13" s="224">
        <v>2020</v>
      </c>
      <c r="P13" s="224">
        <v>2025</v>
      </c>
      <c r="Q13" s="224">
        <v>2030</v>
      </c>
      <c r="R13" s="225">
        <v>2035</v>
      </c>
      <c r="U13">
        <v>2011</v>
      </c>
      <c r="V13" s="104">
        <v>2015</v>
      </c>
      <c r="W13" s="224">
        <v>2020</v>
      </c>
      <c r="X13" s="224">
        <v>2025</v>
      </c>
      <c r="Y13" s="224">
        <v>2030</v>
      </c>
      <c r="Z13" s="225">
        <v>2035</v>
      </c>
      <c r="AA13" s="104">
        <v>2015</v>
      </c>
      <c r="AB13" s="224">
        <v>2020</v>
      </c>
      <c r="AC13" s="224">
        <v>2025</v>
      </c>
      <c r="AD13" s="224">
        <v>2030</v>
      </c>
      <c r="AE13" s="225">
        <v>2035</v>
      </c>
      <c r="AF13" s="104">
        <v>2015</v>
      </c>
      <c r="AG13" s="224">
        <v>2020</v>
      </c>
      <c r="AH13" s="224">
        <v>2025</v>
      </c>
      <c r="AI13" s="224">
        <v>2030</v>
      </c>
      <c r="AJ13" s="225">
        <v>2035</v>
      </c>
      <c r="AN13">
        <v>2012</v>
      </c>
      <c r="AO13" s="104">
        <v>2015</v>
      </c>
      <c r="AP13" s="224">
        <v>2020</v>
      </c>
      <c r="AQ13" s="224">
        <v>2025</v>
      </c>
      <c r="AR13" s="224">
        <v>2030</v>
      </c>
      <c r="AS13" s="225">
        <v>2035</v>
      </c>
      <c r="AT13" s="104">
        <v>2015</v>
      </c>
      <c r="AU13" s="224">
        <v>2020</v>
      </c>
      <c r="AV13" s="224">
        <v>2025</v>
      </c>
      <c r="AW13" s="224">
        <v>2030</v>
      </c>
      <c r="AX13" s="225">
        <v>2035</v>
      </c>
      <c r="AY13" s="104">
        <v>2015</v>
      </c>
      <c r="AZ13" s="224">
        <v>2020</v>
      </c>
      <c r="BA13" s="224">
        <v>2025</v>
      </c>
      <c r="BB13" s="224">
        <v>2030</v>
      </c>
      <c r="BC13" s="225">
        <v>2035</v>
      </c>
    </row>
    <row r="14" spans="2:55" x14ac:dyDescent="0.25">
      <c r="B14" t="s">
        <v>779</v>
      </c>
      <c r="C14">
        <v>78.099999999999994</v>
      </c>
      <c r="D14" s="71">
        <v>102</v>
      </c>
      <c r="E14">
        <v>108.6</v>
      </c>
      <c r="F14">
        <v>113.6</v>
      </c>
      <c r="G14">
        <v>117.3</v>
      </c>
      <c r="H14" s="244">
        <v>120</v>
      </c>
      <c r="I14" s="71">
        <v>106.3</v>
      </c>
      <c r="J14">
        <v>118.1</v>
      </c>
      <c r="K14">
        <v>127.3</v>
      </c>
      <c r="L14">
        <v>134.5</v>
      </c>
      <c r="M14" s="244">
        <v>140</v>
      </c>
      <c r="N14" s="71">
        <v>97</v>
      </c>
      <c r="O14">
        <v>97</v>
      </c>
      <c r="P14">
        <v>97</v>
      </c>
      <c r="Q14">
        <v>97</v>
      </c>
      <c r="R14" s="244">
        <v>97</v>
      </c>
      <c r="T14" t="s">
        <v>779</v>
      </c>
      <c r="U14">
        <v>107.6</v>
      </c>
      <c r="V14" s="71">
        <v>116</v>
      </c>
      <c r="W14">
        <v>119.5</v>
      </c>
      <c r="X14">
        <v>121.9</v>
      </c>
      <c r="Y14">
        <v>123.6</v>
      </c>
      <c r="Z14" s="244">
        <v>125</v>
      </c>
      <c r="AA14" s="71">
        <v>118.4</v>
      </c>
      <c r="AB14">
        <v>128.30000000000001</v>
      </c>
      <c r="AC14">
        <v>135.6</v>
      </c>
      <c r="AD14">
        <v>141.1</v>
      </c>
      <c r="AE14" s="244">
        <v>145</v>
      </c>
      <c r="AF14" s="71">
        <v>115.3</v>
      </c>
      <c r="AG14">
        <v>113.3</v>
      </c>
      <c r="AH14">
        <v>109.1</v>
      </c>
      <c r="AI14">
        <v>104.7</v>
      </c>
      <c r="AJ14" s="244">
        <v>100</v>
      </c>
      <c r="AM14" t="s">
        <v>779</v>
      </c>
      <c r="AN14">
        <v>109</v>
      </c>
      <c r="AO14" s="71">
        <f>(AN14*5+AP14*3)/8</f>
        <v>110.5</v>
      </c>
      <c r="AP14" s="71">
        <v>113</v>
      </c>
      <c r="AQ14">
        <v>116</v>
      </c>
      <c r="AR14">
        <v>121</v>
      </c>
      <c r="AS14" s="244">
        <v>128</v>
      </c>
      <c r="AT14" s="326">
        <f>(AN14*5+AU14*3)/8</f>
        <v>113.125</v>
      </c>
      <c r="AU14">
        <v>120</v>
      </c>
      <c r="AV14">
        <v>127</v>
      </c>
      <c r="AW14">
        <v>136</v>
      </c>
      <c r="AX14" s="244">
        <v>145</v>
      </c>
      <c r="AY14" s="326">
        <f>(AN14*5+AZ14*3)/8</f>
        <v>109.375</v>
      </c>
      <c r="AZ14">
        <v>110</v>
      </c>
      <c r="BA14">
        <v>107</v>
      </c>
      <c r="BB14">
        <v>104</v>
      </c>
      <c r="BC14" s="244">
        <v>100</v>
      </c>
    </row>
    <row r="15" spans="2:55" x14ac:dyDescent="0.25">
      <c r="B15" t="s">
        <v>780</v>
      </c>
      <c r="D15" s="71"/>
      <c r="H15" s="244"/>
      <c r="I15" s="71"/>
      <c r="M15" s="244"/>
      <c r="N15" s="71"/>
      <c r="R15" s="244"/>
      <c r="T15" t="s">
        <v>780</v>
      </c>
      <c r="V15" s="71"/>
      <c r="Z15" s="244"/>
      <c r="AA15" s="71"/>
      <c r="AE15" s="244"/>
      <c r="AF15" s="71"/>
      <c r="AJ15" s="244"/>
      <c r="AM15" t="s">
        <v>780</v>
      </c>
      <c r="AO15" s="71"/>
      <c r="AP15" s="71"/>
      <c r="AS15" s="244"/>
      <c r="AT15" s="71"/>
      <c r="AX15" s="244"/>
      <c r="AY15" s="71"/>
      <c r="BC15" s="244"/>
    </row>
    <row r="16" spans="2:55" x14ac:dyDescent="0.25">
      <c r="B16" t="s">
        <v>781</v>
      </c>
      <c r="C16">
        <v>4.4000000000000004</v>
      </c>
      <c r="D16" s="71">
        <v>6</v>
      </c>
      <c r="E16">
        <v>6.7</v>
      </c>
      <c r="F16">
        <v>7.3</v>
      </c>
      <c r="G16">
        <v>7.9</v>
      </c>
      <c r="H16" s="244">
        <v>8.6</v>
      </c>
      <c r="I16" s="71">
        <v>6.1</v>
      </c>
      <c r="J16">
        <v>7</v>
      </c>
      <c r="K16">
        <v>7.7</v>
      </c>
      <c r="L16">
        <v>8.4</v>
      </c>
      <c r="M16" s="244">
        <v>9</v>
      </c>
      <c r="N16" s="71">
        <v>5.9</v>
      </c>
      <c r="O16">
        <v>6.5</v>
      </c>
      <c r="P16">
        <v>8</v>
      </c>
      <c r="Q16">
        <v>8.4</v>
      </c>
      <c r="R16" s="244">
        <v>7.8</v>
      </c>
      <c r="T16" t="s">
        <v>781</v>
      </c>
      <c r="U16">
        <v>4.0999999999999996</v>
      </c>
      <c r="V16" s="71">
        <v>4.5999999999999996</v>
      </c>
      <c r="W16">
        <v>5.4</v>
      </c>
      <c r="X16">
        <v>6.3</v>
      </c>
      <c r="Y16">
        <v>7.1</v>
      </c>
      <c r="Z16" s="244">
        <v>8</v>
      </c>
      <c r="AA16" s="71">
        <v>4.5999999999999996</v>
      </c>
      <c r="AB16">
        <v>5.5</v>
      </c>
      <c r="AC16">
        <v>6.4</v>
      </c>
      <c r="AD16">
        <v>7.2</v>
      </c>
      <c r="AE16" s="244">
        <v>8</v>
      </c>
      <c r="AF16" s="71">
        <v>4.4000000000000004</v>
      </c>
      <c r="AG16">
        <v>5.5</v>
      </c>
      <c r="AH16">
        <v>6.9</v>
      </c>
      <c r="AI16">
        <v>7.6</v>
      </c>
      <c r="AJ16" s="244">
        <v>7.6</v>
      </c>
      <c r="AM16" t="s">
        <v>781</v>
      </c>
      <c r="AN16">
        <v>2.7</v>
      </c>
      <c r="AO16" s="327">
        <f>(AN16*5+AP16*3)/8</f>
        <v>3.5999999999999996</v>
      </c>
      <c r="AP16" s="71">
        <v>5.0999999999999996</v>
      </c>
      <c r="AQ16">
        <v>5.6</v>
      </c>
      <c r="AR16">
        <v>6</v>
      </c>
      <c r="AS16" s="244">
        <v>6.8</v>
      </c>
      <c r="AT16" s="326">
        <f>(AN16*5+AU16*3)/8</f>
        <v>3.6375000000000002</v>
      </c>
      <c r="AU16">
        <v>5.2</v>
      </c>
      <c r="AV16">
        <v>5.8</v>
      </c>
      <c r="AW16">
        <v>6.2</v>
      </c>
      <c r="AX16" s="244">
        <v>6.9</v>
      </c>
      <c r="AY16" s="326">
        <f>(AN16*5+AZ16*3)/8</f>
        <v>3.4874999999999998</v>
      </c>
      <c r="AZ16">
        <v>4.8</v>
      </c>
      <c r="BA16">
        <v>5.4</v>
      </c>
      <c r="BB16">
        <v>5.7</v>
      </c>
      <c r="BC16" s="244">
        <v>5.9</v>
      </c>
    </row>
    <row r="17" spans="2:68" x14ac:dyDescent="0.25">
      <c r="B17" t="s">
        <v>782</v>
      </c>
      <c r="C17">
        <v>7.5</v>
      </c>
      <c r="D17" s="71">
        <v>9.6</v>
      </c>
      <c r="E17">
        <v>10.4</v>
      </c>
      <c r="F17">
        <v>11.1</v>
      </c>
      <c r="G17">
        <v>11.7</v>
      </c>
      <c r="H17" s="244">
        <v>12.1</v>
      </c>
      <c r="I17" s="71">
        <v>9.8000000000000007</v>
      </c>
      <c r="J17">
        <v>11</v>
      </c>
      <c r="K17">
        <v>11.9</v>
      </c>
      <c r="L17">
        <v>12.6</v>
      </c>
      <c r="M17" s="244">
        <v>13</v>
      </c>
      <c r="N17" s="71">
        <v>9.4</v>
      </c>
      <c r="O17">
        <v>9.8000000000000007</v>
      </c>
      <c r="P17">
        <v>9.8000000000000007</v>
      </c>
      <c r="Q17">
        <v>9.6999999999999993</v>
      </c>
      <c r="R17" s="244">
        <v>9.4</v>
      </c>
      <c r="T17" t="s">
        <v>782</v>
      </c>
      <c r="U17">
        <v>9.6</v>
      </c>
      <c r="V17" s="71">
        <v>11</v>
      </c>
      <c r="W17">
        <v>11.5</v>
      </c>
      <c r="X17">
        <v>11.9</v>
      </c>
      <c r="Y17">
        <v>12.2</v>
      </c>
      <c r="Z17" s="244">
        <v>12.5</v>
      </c>
      <c r="AA17" s="71">
        <v>11.1</v>
      </c>
      <c r="AB17">
        <v>12.1</v>
      </c>
      <c r="AC17">
        <v>12.9</v>
      </c>
      <c r="AD17">
        <v>13.4</v>
      </c>
      <c r="AE17" s="244">
        <v>13.7</v>
      </c>
      <c r="AF17" s="71">
        <v>10.9</v>
      </c>
      <c r="AG17">
        <v>10.8</v>
      </c>
      <c r="AH17">
        <v>10.4</v>
      </c>
      <c r="AI17">
        <v>10</v>
      </c>
      <c r="AJ17" s="244">
        <v>9.6</v>
      </c>
      <c r="AM17" t="s">
        <v>782</v>
      </c>
      <c r="AN17">
        <v>11.7</v>
      </c>
      <c r="AO17" s="327">
        <f>(AN17*5+AP17*3)/8</f>
        <v>11.775</v>
      </c>
      <c r="AP17" s="71">
        <v>11.9</v>
      </c>
      <c r="AQ17">
        <v>12</v>
      </c>
      <c r="AR17">
        <v>12.3</v>
      </c>
      <c r="AS17" s="244">
        <v>12.7</v>
      </c>
      <c r="AT17" s="326">
        <f>(AN17*5+AU17*3)/8</f>
        <v>11.9625</v>
      </c>
      <c r="AU17">
        <v>12.4</v>
      </c>
      <c r="AV17">
        <v>12.9</v>
      </c>
      <c r="AW17">
        <v>13.4</v>
      </c>
      <c r="AX17" s="244">
        <v>14</v>
      </c>
      <c r="AY17" s="326">
        <f>(AN17*5+AZ17*3)/8</f>
        <v>11.625</v>
      </c>
      <c r="AZ17">
        <v>11.5</v>
      </c>
      <c r="BA17">
        <v>11</v>
      </c>
      <c r="BB17">
        <v>10.199999999999999</v>
      </c>
      <c r="BC17" s="244">
        <v>9.5</v>
      </c>
      <c r="BJ17">
        <v>2010</v>
      </c>
      <c r="BK17">
        <f>BJ17+5</f>
        <v>2015</v>
      </c>
      <c r="BL17">
        <v>2020</v>
      </c>
      <c r="BM17">
        <v>2025</v>
      </c>
      <c r="BN17">
        <v>2030</v>
      </c>
      <c r="BO17">
        <v>2035</v>
      </c>
      <c r="BP17">
        <v>2040</v>
      </c>
    </row>
    <row r="18" spans="2:68" x14ac:dyDescent="0.25">
      <c r="B18" t="s">
        <v>783</v>
      </c>
      <c r="C18">
        <v>11</v>
      </c>
      <c r="D18" s="71">
        <v>12.2</v>
      </c>
      <c r="E18">
        <v>12.9</v>
      </c>
      <c r="F18">
        <v>13.4</v>
      </c>
      <c r="G18">
        <v>13.9</v>
      </c>
      <c r="H18" s="244">
        <v>14.3</v>
      </c>
      <c r="I18" s="71">
        <v>12.7</v>
      </c>
      <c r="J18">
        <v>13.5</v>
      </c>
      <c r="K18">
        <v>14.2</v>
      </c>
      <c r="L18">
        <v>14.8</v>
      </c>
      <c r="M18" s="244">
        <v>15.2</v>
      </c>
      <c r="N18" s="71">
        <v>11.9</v>
      </c>
      <c r="O18">
        <v>12</v>
      </c>
      <c r="P18">
        <v>12</v>
      </c>
      <c r="Q18">
        <v>12.1</v>
      </c>
      <c r="R18" s="244">
        <v>12.1</v>
      </c>
      <c r="T18" t="s">
        <v>783</v>
      </c>
      <c r="U18">
        <v>14.8</v>
      </c>
      <c r="V18" s="71">
        <v>15</v>
      </c>
      <c r="W18">
        <v>14.3</v>
      </c>
      <c r="X18">
        <v>14.5</v>
      </c>
      <c r="Y18">
        <v>14.7</v>
      </c>
      <c r="Z18" s="244">
        <v>14.8</v>
      </c>
      <c r="AA18" s="71">
        <v>15.3</v>
      </c>
      <c r="AB18">
        <v>14.7</v>
      </c>
      <c r="AC18">
        <v>15.2</v>
      </c>
      <c r="AD18">
        <v>15.6</v>
      </c>
      <c r="AE18" s="244">
        <v>16</v>
      </c>
      <c r="AF18" s="71">
        <v>14.9</v>
      </c>
      <c r="AG18">
        <v>13.5</v>
      </c>
      <c r="AH18">
        <v>12.9</v>
      </c>
      <c r="AI18">
        <v>12.5</v>
      </c>
      <c r="AJ18" s="244">
        <v>12.2</v>
      </c>
      <c r="AM18" t="s">
        <v>783</v>
      </c>
      <c r="AN18">
        <v>16.899999999999999</v>
      </c>
      <c r="AO18" s="327">
        <f>(AN18*5+AP18*3)/8</f>
        <v>15.887499999999999</v>
      </c>
      <c r="AP18" s="71">
        <v>14.2</v>
      </c>
      <c r="AQ18">
        <v>14.2</v>
      </c>
      <c r="AR18">
        <v>14.4</v>
      </c>
      <c r="AS18" s="244">
        <v>14.9</v>
      </c>
      <c r="AT18" s="326">
        <f>(AN18*5+AU18*3)/8</f>
        <v>16.074999999999999</v>
      </c>
      <c r="AU18">
        <v>14.7</v>
      </c>
      <c r="AV18">
        <v>15.2</v>
      </c>
      <c r="AW18">
        <v>15.9</v>
      </c>
      <c r="AX18" s="244">
        <v>16.7</v>
      </c>
      <c r="AY18" s="326">
        <f>(AN18*5+AZ18*3)/8</f>
        <v>15.5875</v>
      </c>
      <c r="AZ18">
        <v>13.4</v>
      </c>
      <c r="BA18">
        <v>12.8</v>
      </c>
      <c r="BB18">
        <v>12.2</v>
      </c>
      <c r="BC18" s="244">
        <v>11.7</v>
      </c>
      <c r="BI18" t="s">
        <v>157</v>
      </c>
      <c r="BJ18">
        <v>12.09</v>
      </c>
      <c r="BK18">
        <v>15.98453488</v>
      </c>
      <c r="BL18">
        <v>19.88</v>
      </c>
      <c r="BM18">
        <v>21.242425820000001</v>
      </c>
      <c r="BN18">
        <v>22.6</v>
      </c>
      <c r="BO18">
        <v>23.378894710000001</v>
      </c>
      <c r="BP18">
        <v>24.154876730000002</v>
      </c>
    </row>
    <row r="19" spans="2:68" ht="15.75" thickBot="1" x14ac:dyDescent="0.3">
      <c r="B19" t="s">
        <v>784</v>
      </c>
      <c r="C19">
        <v>99.2</v>
      </c>
      <c r="D19" s="328">
        <v>103.7</v>
      </c>
      <c r="E19" s="95">
        <v>106.3</v>
      </c>
      <c r="F19" s="95">
        <v>108.1</v>
      </c>
      <c r="G19" s="95">
        <v>109.3</v>
      </c>
      <c r="H19" s="229">
        <v>110</v>
      </c>
      <c r="I19" s="328">
        <v>104.6</v>
      </c>
      <c r="J19" s="95">
        <v>109</v>
      </c>
      <c r="K19" s="95">
        <v>112.8</v>
      </c>
      <c r="L19" s="95">
        <v>115.9</v>
      </c>
      <c r="M19" s="229">
        <v>118.4</v>
      </c>
      <c r="N19" s="328">
        <v>100.3</v>
      </c>
      <c r="O19" s="95">
        <v>93.3</v>
      </c>
      <c r="P19" s="95">
        <v>83.2</v>
      </c>
      <c r="Q19" s="95">
        <v>73.7</v>
      </c>
      <c r="R19" s="229">
        <v>67.7</v>
      </c>
      <c r="T19" t="s">
        <v>784</v>
      </c>
      <c r="U19">
        <v>123.4</v>
      </c>
      <c r="V19" s="328">
        <v>108.5</v>
      </c>
      <c r="W19" s="95">
        <v>112</v>
      </c>
      <c r="X19" s="95">
        <v>113</v>
      </c>
      <c r="Y19" s="95">
        <v>114</v>
      </c>
      <c r="Z19" s="229">
        <v>115</v>
      </c>
      <c r="AA19" s="328">
        <v>110</v>
      </c>
      <c r="AB19" s="95">
        <v>115</v>
      </c>
      <c r="AC19" s="95">
        <v>119.2</v>
      </c>
      <c r="AD19" s="95">
        <v>122.5</v>
      </c>
      <c r="AE19" s="229">
        <v>125</v>
      </c>
      <c r="AF19" s="328">
        <v>105.3</v>
      </c>
      <c r="AG19" s="95">
        <v>97.5</v>
      </c>
      <c r="AH19" s="95">
        <v>89</v>
      </c>
      <c r="AI19" s="95">
        <v>78</v>
      </c>
      <c r="AJ19" s="229">
        <v>70</v>
      </c>
      <c r="AM19" t="s">
        <v>784</v>
      </c>
      <c r="AN19">
        <v>99</v>
      </c>
      <c r="AO19" s="329">
        <f>(AN19*5+AP19*3)/8</f>
        <v>101.625</v>
      </c>
      <c r="AP19" s="328">
        <v>106</v>
      </c>
      <c r="AQ19" s="95">
        <v>109</v>
      </c>
      <c r="AR19" s="95">
        <v>110</v>
      </c>
      <c r="AS19" s="229">
        <v>110</v>
      </c>
      <c r="AT19" s="328">
        <f>(AN19*5+AU19*3)/8</f>
        <v>103.875</v>
      </c>
      <c r="AU19" s="95">
        <v>112</v>
      </c>
      <c r="AV19" s="95">
        <v>116</v>
      </c>
      <c r="AW19" s="229">
        <v>118</v>
      </c>
      <c r="AX19" s="328">
        <v>120</v>
      </c>
      <c r="AY19" s="95">
        <f>(AN19*5+AZ19*3)/8</f>
        <v>99.75</v>
      </c>
      <c r="AZ19" s="95">
        <v>101</v>
      </c>
      <c r="BA19" s="95">
        <v>95</v>
      </c>
      <c r="BB19" s="95">
        <v>86</v>
      </c>
      <c r="BC19" s="229">
        <v>75</v>
      </c>
      <c r="BI19" t="s">
        <v>161</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785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207</v>
      </c>
      <c r="BJ20">
        <v>133.65790498578201</v>
      </c>
      <c r="BK20">
        <v>144.66341308052401</v>
      </c>
      <c r="BL20">
        <v>165.92115951130501</v>
      </c>
      <c r="BM20">
        <v>184.993407949881</v>
      </c>
      <c r="BN20">
        <v>206.056227652074</v>
      </c>
      <c r="BO20">
        <v>229.741908114235</v>
      </c>
      <c r="BP20">
        <v>257.405837873981</v>
      </c>
    </row>
    <row r="21" spans="2:68" x14ac:dyDescent="0.25">
      <c r="AM21" t="s">
        <v>786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201</v>
      </c>
      <c r="BJ21">
        <v>6.25</v>
      </c>
      <c r="BK21">
        <v>6.25</v>
      </c>
      <c r="BL21">
        <v>6.25</v>
      </c>
      <c r="BM21">
        <v>6.25</v>
      </c>
      <c r="BN21">
        <v>6.25</v>
      </c>
      <c r="BO21">
        <v>6.25</v>
      </c>
      <c r="BP21">
        <v>6.25</v>
      </c>
    </row>
    <row r="22" spans="2:68" x14ac:dyDescent="0.25">
      <c r="T22" t="s">
        <v>787</v>
      </c>
      <c r="U22" t="s">
        <v>788</v>
      </c>
      <c r="AM22" t="s">
        <v>787</v>
      </c>
      <c r="AN22" t="s">
        <v>788</v>
      </c>
      <c r="BI22" t="s">
        <v>789</v>
      </c>
      <c r="BJ22">
        <v>55.690793744075798</v>
      </c>
      <c r="BK22">
        <v>60.276422116885101</v>
      </c>
      <c r="BL22">
        <v>69.133816463043999</v>
      </c>
      <c r="BM22">
        <v>77.080586645783796</v>
      </c>
      <c r="BN22">
        <v>85.856761521697706</v>
      </c>
      <c r="BO22">
        <v>95.725795047598098</v>
      </c>
      <c r="BP22">
        <v>107.252432447492</v>
      </c>
    </row>
    <row r="23" spans="2:68" x14ac:dyDescent="0.25">
      <c r="B23" t="s">
        <v>790</v>
      </c>
      <c r="D23" s="325">
        <f>(D14/C14)^(1/(D13-C13))-1</f>
        <v>5.4847863469976943E-2</v>
      </c>
      <c r="E23" s="325">
        <f>(E14/D14)^(1/(E13-D13))-1</f>
        <v>1.2618670784016128E-2</v>
      </c>
      <c r="F23" s="325">
        <f>(F14/E14)^(1/(F13-E13))-1</f>
        <v>9.0430634103768615E-3</v>
      </c>
      <c r="G23" s="325">
        <f>(G14/F14)^(1/(G13-F13))-1</f>
        <v>6.4308394975671757E-3</v>
      </c>
      <c r="H23" s="325">
        <f>(H14/G14)^(1/(H13-G13))-1</f>
        <v>4.5617707655429829E-3</v>
      </c>
      <c r="I23" s="325">
        <f>(I14/C14)^(1/(I13-C13))-1</f>
        <v>6.3595389637669753E-2</v>
      </c>
      <c r="J23" s="325">
        <f>(J14/I14)^(1/(J13-I13))-1</f>
        <v>2.1276471530135677E-2</v>
      </c>
      <c r="K23" s="325">
        <f>(K14/J14)^(1/(K13-J13))-1</f>
        <v>1.5116065773516763E-2</v>
      </c>
      <c r="L23" s="325">
        <f>(L14/K14)^(1/(L13-K13))-1</f>
        <v>1.1064300287287665E-2</v>
      </c>
      <c r="M23" s="325">
        <f>(M14/L14)^(1/(M13-L13))-1</f>
        <v>8.0478560007939404E-3</v>
      </c>
      <c r="N23" s="325">
        <f>(N14/C14)^(1/(N13-C13))-1</f>
        <v>4.4297263758155792E-2</v>
      </c>
      <c r="O23" s="325">
        <f>(O14/N14)^(1/(O13-N13))-1</f>
        <v>0</v>
      </c>
      <c r="P23" s="325">
        <f>(P14/O14)^(1/(P13-O13))-1</f>
        <v>0</v>
      </c>
      <c r="Q23" s="325">
        <f>(Q14/P14)^(1/(Q13-P13))-1</f>
        <v>0</v>
      </c>
      <c r="R23" s="325">
        <f>(R14/Q14)^(1/(R13-Q13))-1</f>
        <v>0</v>
      </c>
      <c r="T23" s="330">
        <f>C14/I10-1</f>
        <v>0.27831598569580707</v>
      </c>
      <c r="U23" s="330">
        <f>U14*[11]Deflator!U20/[11]Deflator!V20/C14-1</f>
        <v>0.34109185113451201</v>
      </c>
      <c r="V23" s="325">
        <f>(V14/U14)^(1/(V13-U13))-1</f>
        <v>1.8970074044000862E-2</v>
      </c>
      <c r="W23" s="325">
        <f>(W14/V14)^(1/(W13-V13))-1</f>
        <v>5.962944044239471E-3</v>
      </c>
      <c r="X23" s="325">
        <f>(X14/W14)^(1/(X13-W13))-1</f>
        <v>3.9848515148914743E-3</v>
      </c>
      <c r="Y23" s="325">
        <f>(Y14/X14)^(1/(Y13-X13))-1</f>
        <v>2.773741429406007E-3</v>
      </c>
      <c r="Z23" s="325">
        <f>(Z14/Y14)^(1/(Z13-Y13))-1</f>
        <v>2.2551775519457085E-3</v>
      </c>
      <c r="AA23" s="325">
        <f>(AA14/U14)^(1/(AA13-U13))-1</f>
        <v>2.4200203441211432E-2</v>
      </c>
      <c r="AB23" s="325">
        <f>(AB14/AA14)^(1/(AB13-AA13))-1</f>
        <v>1.6190173044798639E-2</v>
      </c>
      <c r="AC23" s="325">
        <f>(AC14/AB14)^(1/(AC13-AB13))-1</f>
        <v>1.1129093467930451E-2</v>
      </c>
      <c r="AD23" s="325">
        <f>(AD14/AC14)^(1/(AD13-AC13))-1</f>
        <v>7.9835969709516341E-3</v>
      </c>
      <c r="AE23" s="325">
        <f>(AE14/AD14)^(1/(AE13-AD13))-1</f>
        <v>5.4678712507574279E-3</v>
      </c>
      <c r="AF23" s="325">
        <f>(AF14/U14)^(1/(AF13-U13))-1</f>
        <v>1.7429343745218651E-2</v>
      </c>
      <c r="AG23" s="325">
        <f>(AG14/AF14)^(1/(AG13-AF13))-1</f>
        <v>-3.4935352041365331E-3</v>
      </c>
      <c r="AH23" s="325">
        <f>(AH14/AG14)^(1/(AH13-AG13))-1</f>
        <v>-7.5263888527359324E-3</v>
      </c>
      <c r="AI23" s="325">
        <f>(AI14/AH14)^(1/(AI13-AH13))-1</f>
        <v>-8.1993553946574371E-3</v>
      </c>
      <c r="AJ23" s="325">
        <f>(AJ14/AI14)^(1/(AJ13-AI13))-1</f>
        <v>-9.1437259266209381E-3</v>
      </c>
      <c r="AM23" s="330" t="e">
        <f>V14/AB10-1</f>
        <v>#DIV/0!</v>
      </c>
      <c r="AN23" s="330" t="e">
        <f>AN14*[11]Deflator!AN20/[11]Deflator!AO20/V14-1</f>
        <v>#DIV/0!</v>
      </c>
      <c r="AO23" s="325">
        <f>(AO14/AN14)^(1/(AO13-AN13))-1</f>
        <v>4.5662733738802697E-3</v>
      </c>
      <c r="AP23" s="325">
        <f>(AP14/AO14)^(1/(AP13-AO13))-1</f>
        <v>4.4844848921270497E-3</v>
      </c>
      <c r="AQ23" s="325">
        <f>(AQ14/AP14)^(1/(AQ13-AP13))-1</f>
        <v>5.2542297827959938E-3</v>
      </c>
      <c r="AR23" s="325">
        <f>(AR14/AQ14)^(1/(AR13-AQ13))-1</f>
        <v>8.4757887127040465E-3</v>
      </c>
      <c r="AS23" s="325">
        <f>(AS14/AR14)^(1/(AS13-AR13))-1</f>
        <v>1.1311439625934394E-2</v>
      </c>
      <c r="AT23" s="325">
        <f>(AT14/AN14)^(1/(AT13-AN13))-1</f>
        <v>1.2458812268670849E-2</v>
      </c>
      <c r="AU23" s="325">
        <f>(AU14/AT14)^(1/(AU13-AT13))-1</f>
        <v>1.1869558861851592E-2</v>
      </c>
      <c r="AV23" s="325">
        <f>(AV14/AU14)^(1/(AV13-AU13))-1</f>
        <v>1.1403599651385044E-2</v>
      </c>
      <c r="AW23" s="325">
        <f>(AW14/AV14)^(1/(AW13-AV13))-1</f>
        <v>1.3787746070069717E-2</v>
      </c>
      <c r="AX23" s="325">
        <f>(AX14/AW14)^(1/(AX13-AW13))-1</f>
        <v>1.2898245280189125E-2</v>
      </c>
      <c r="AY23" s="325">
        <f>(AY14/AN14)^(1/(AY13-AN13))-1</f>
        <v>1.1454763737035467E-3</v>
      </c>
      <c r="AZ23" s="325">
        <f>(AZ14/AY14)^(1/(AZ13-AY13))-1</f>
        <v>1.140253818557202E-3</v>
      </c>
      <c r="BA23" s="325">
        <f>(BA14/AZ14)^(1/(BA13-AZ13))-1</f>
        <v>-5.5150422735510407E-3</v>
      </c>
      <c r="BB23" s="325">
        <f>(BB14/BA14)^(1/(BB13-BA13))-1</f>
        <v>-5.6714433615395743E-3</v>
      </c>
      <c r="BC23" s="325">
        <f>(BC14/BB14)^(1/(BC13-BB13))-1</f>
        <v>-7.8134576287804958E-3</v>
      </c>
      <c r="BI23" t="s">
        <v>791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31">
        <f>AVERAGE(D23:H23)</f>
        <v>1.7500441585496018E-2</v>
      </c>
      <c r="I24" s="331">
        <f>AVERAGE(I23:M23)</f>
        <v>2.3820016645880758E-2</v>
      </c>
      <c r="N24" s="331">
        <f>AVERAGE(N23:R23)</f>
        <v>8.8594527516311587E-3</v>
      </c>
      <c r="V24" s="331">
        <f>AVERAGE(V23:Z23)</f>
        <v>6.7893577168967045E-3</v>
      </c>
      <c r="AA24" s="331">
        <f>AVERAGE(AA23:AE23)</f>
        <v>1.2994187635129916E-2</v>
      </c>
      <c r="AF24" s="331">
        <f>AVERAGE(AF23:AJ23)</f>
        <v>-2.1867323265864378E-3</v>
      </c>
      <c r="AO24" s="331">
        <f>AVERAGE(AO23:AS23)</f>
        <v>6.8184432774883504E-3</v>
      </c>
      <c r="AT24" s="331">
        <f>AVERAGE(AT23:AX23)</f>
        <v>1.2483592426433265E-2</v>
      </c>
      <c r="AY24" s="331">
        <f>AVERAGE(AY23:BC23)</f>
        <v>-3.3428426143220723E-3</v>
      </c>
      <c r="BI24" t="s">
        <v>792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31">
        <f>I24-D24</f>
        <v>6.3195750603847398E-3</v>
      </c>
      <c r="N25" s="331">
        <f>D24-N24</f>
        <v>8.6409888338648596E-3</v>
      </c>
      <c r="AA25" s="331">
        <f>AA24-V24</f>
        <v>6.2048299182332119E-3</v>
      </c>
      <c r="AF25" s="331">
        <f>V24-AF24</f>
        <v>8.9760900434831432E-3</v>
      </c>
      <c r="AT25" s="331">
        <f>AT24-AO24</f>
        <v>5.665149148944915E-3</v>
      </c>
      <c r="AY25" s="331">
        <f>AO24-AY24</f>
        <v>1.0161285891810423E-2</v>
      </c>
      <c r="BI25" t="s">
        <v>793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781</v>
      </c>
      <c r="D26" s="332">
        <f t="shared" ref="D26:H29" si="4">D16/C16-1</f>
        <v>0.36363636363636354</v>
      </c>
      <c r="E26" s="332">
        <f t="shared" si="4"/>
        <v>0.1166666666666667</v>
      </c>
      <c r="F26" s="332">
        <f t="shared" si="4"/>
        <v>8.9552238805970186E-2</v>
      </c>
      <c r="G26" s="332">
        <f t="shared" si="4"/>
        <v>8.2191780821917915E-2</v>
      </c>
      <c r="H26" s="332">
        <f t="shared" si="4"/>
        <v>8.8607594936708667E-2</v>
      </c>
      <c r="I26" s="332">
        <f>I16/C16-1</f>
        <v>0.38636363636363624</v>
      </c>
      <c r="J26" s="332">
        <f t="shared" ref="J26:M29" si="5">J16/I16-1</f>
        <v>0.14754098360655754</v>
      </c>
      <c r="K26" s="332">
        <f t="shared" si="5"/>
        <v>0.10000000000000009</v>
      </c>
      <c r="L26" s="332">
        <f t="shared" si="5"/>
        <v>9.0909090909090828E-2</v>
      </c>
      <c r="M26" s="332">
        <f t="shared" si="5"/>
        <v>7.1428571428571397E-2</v>
      </c>
      <c r="N26" s="332">
        <f>N16/C16-1</f>
        <v>0.34090909090909083</v>
      </c>
      <c r="O26" s="332">
        <f t="shared" ref="O26:R29" si="6">O16/N16-1</f>
        <v>0.10169491525423724</v>
      </c>
      <c r="P26" s="332">
        <f t="shared" si="6"/>
        <v>0.23076923076923084</v>
      </c>
      <c r="Q26" s="332">
        <f t="shared" si="6"/>
        <v>5.0000000000000044E-2</v>
      </c>
      <c r="R26" s="332">
        <f t="shared" si="6"/>
        <v>-7.1428571428571508E-2</v>
      </c>
      <c r="V26" s="332">
        <f t="shared" ref="V26:Z29" si="7">V16/U16-1</f>
        <v>0.12195121951219523</v>
      </c>
      <c r="W26" s="332">
        <f t="shared" si="7"/>
        <v>0.17391304347826098</v>
      </c>
      <c r="X26" s="332">
        <f t="shared" si="7"/>
        <v>0.16666666666666652</v>
      </c>
      <c r="Y26" s="332">
        <f t="shared" si="7"/>
        <v>0.12698412698412698</v>
      </c>
      <c r="Z26" s="332">
        <f t="shared" si="7"/>
        <v>0.12676056338028174</v>
      </c>
      <c r="AA26" s="332">
        <f>AA16/U16-1</f>
        <v>0.12195121951219523</v>
      </c>
      <c r="AB26" s="332">
        <f t="shared" ref="AB26:AE29" si="8">AB16/AA16-1</f>
        <v>0.19565217391304368</v>
      </c>
      <c r="AC26" s="332">
        <f t="shared" si="8"/>
        <v>0.1636363636363638</v>
      </c>
      <c r="AD26" s="332">
        <f t="shared" si="8"/>
        <v>0.125</v>
      </c>
      <c r="AE26" s="332">
        <f t="shared" si="8"/>
        <v>0.11111111111111116</v>
      </c>
      <c r="AF26" s="332">
        <f>AF16/U16-1</f>
        <v>7.317073170731736E-2</v>
      </c>
      <c r="AG26" s="332">
        <f t="shared" ref="AG26:AJ29" si="9">AG16/AF16-1</f>
        <v>0.25</v>
      </c>
      <c r="AH26" s="332">
        <f t="shared" si="9"/>
        <v>0.25454545454545463</v>
      </c>
      <c r="AI26" s="332">
        <f t="shared" si="9"/>
        <v>0.10144927536231862</v>
      </c>
      <c r="AJ26" s="332">
        <f t="shared" si="9"/>
        <v>0</v>
      </c>
      <c r="AO26" s="332">
        <f t="shared" ref="AO26:AS29" si="10">AO16/AN16-1</f>
        <v>0.33333333333333304</v>
      </c>
      <c r="AP26" s="332">
        <f t="shared" si="10"/>
        <v>0.41666666666666674</v>
      </c>
      <c r="AQ26" s="332">
        <f t="shared" si="10"/>
        <v>9.8039215686274606E-2</v>
      </c>
      <c r="AR26" s="332">
        <f t="shared" si="10"/>
        <v>7.1428571428571397E-2</v>
      </c>
      <c r="AS26" s="332">
        <f t="shared" si="10"/>
        <v>0.1333333333333333</v>
      </c>
      <c r="AT26" s="332">
        <f>AT16/AN16-1</f>
        <v>0.3472222222222221</v>
      </c>
      <c r="AU26" s="332">
        <f t="shared" ref="AU26:AX29" si="11">AU16/AT16-1</f>
        <v>0.42955326460481102</v>
      </c>
      <c r="AV26" s="332">
        <f t="shared" si="11"/>
        <v>0.11538461538461542</v>
      </c>
      <c r="AW26" s="332">
        <f t="shared" si="11"/>
        <v>6.8965517241379448E-2</v>
      </c>
      <c r="AX26" s="332">
        <f t="shared" si="11"/>
        <v>0.11290322580645173</v>
      </c>
      <c r="AY26" s="332">
        <f>AY16/AN16-1</f>
        <v>0.29166666666666652</v>
      </c>
      <c r="AZ26" s="332">
        <f t="shared" ref="AZ26:BC29" si="12">AZ16/AY16-1</f>
        <v>0.37634408602150549</v>
      </c>
      <c r="BA26" s="332">
        <f t="shared" si="12"/>
        <v>0.12500000000000022</v>
      </c>
      <c r="BB26" s="332">
        <f t="shared" si="12"/>
        <v>5.555555555555558E-2</v>
      </c>
      <c r="BC26" s="332">
        <f t="shared" si="12"/>
        <v>3.5087719298245723E-2</v>
      </c>
      <c r="BI26" t="s">
        <v>794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782</v>
      </c>
      <c r="D27" s="332">
        <f t="shared" si="4"/>
        <v>0.28000000000000003</v>
      </c>
      <c r="E27" s="332">
        <f t="shared" si="4"/>
        <v>8.3333333333333481E-2</v>
      </c>
      <c r="F27" s="332">
        <f t="shared" si="4"/>
        <v>6.7307692307692291E-2</v>
      </c>
      <c r="G27" s="332">
        <f t="shared" si="4"/>
        <v>5.4054054054053946E-2</v>
      </c>
      <c r="H27" s="332">
        <f t="shared" si="4"/>
        <v>3.4188034188034289E-2</v>
      </c>
      <c r="I27" s="332">
        <f>I17/C17-1</f>
        <v>0.30666666666666687</v>
      </c>
      <c r="J27" s="332">
        <f t="shared" si="5"/>
        <v>0.12244897959183665</v>
      </c>
      <c r="K27" s="332">
        <f t="shared" si="5"/>
        <v>8.181818181818179E-2</v>
      </c>
      <c r="L27" s="332">
        <f t="shared" si="5"/>
        <v>5.8823529411764719E-2</v>
      </c>
      <c r="M27" s="332">
        <f t="shared" si="5"/>
        <v>3.1746031746031855E-2</v>
      </c>
      <c r="N27" s="332">
        <f>N17/C17-1</f>
        <v>0.25333333333333341</v>
      </c>
      <c r="O27" s="332">
        <f t="shared" si="6"/>
        <v>4.2553191489361764E-2</v>
      </c>
      <c r="P27" s="332">
        <f t="shared" si="6"/>
        <v>0</v>
      </c>
      <c r="Q27" s="332">
        <f t="shared" si="6"/>
        <v>-1.0204081632653184E-2</v>
      </c>
      <c r="R27" s="332">
        <f t="shared" si="6"/>
        <v>-3.0927835051546282E-2</v>
      </c>
      <c r="V27" s="332">
        <f t="shared" si="7"/>
        <v>0.14583333333333348</v>
      </c>
      <c r="W27" s="332">
        <f t="shared" si="7"/>
        <v>4.5454545454545414E-2</v>
      </c>
      <c r="X27" s="332">
        <f t="shared" si="7"/>
        <v>3.4782608695652195E-2</v>
      </c>
      <c r="Y27" s="332">
        <f t="shared" si="7"/>
        <v>2.5210084033613356E-2</v>
      </c>
      <c r="Z27" s="332">
        <f t="shared" si="7"/>
        <v>2.4590163934426368E-2</v>
      </c>
      <c r="AA27" s="332">
        <f>AA17/U17-1</f>
        <v>0.15625</v>
      </c>
      <c r="AB27" s="332">
        <f t="shared" si="8"/>
        <v>9.0090090090090058E-2</v>
      </c>
      <c r="AC27" s="332">
        <f t="shared" si="8"/>
        <v>6.6115702479338845E-2</v>
      </c>
      <c r="AD27" s="332">
        <f t="shared" si="8"/>
        <v>3.8759689922480689E-2</v>
      </c>
      <c r="AE27" s="332">
        <f t="shared" si="8"/>
        <v>2.2388059701492491E-2</v>
      </c>
      <c r="AF27" s="332">
        <f>AF17/U17-1</f>
        <v>0.13541666666666674</v>
      </c>
      <c r="AG27" s="332">
        <f t="shared" si="9"/>
        <v>-9.1743119266054496E-3</v>
      </c>
      <c r="AH27" s="332">
        <f t="shared" si="9"/>
        <v>-3.703703703703709E-2</v>
      </c>
      <c r="AI27" s="332">
        <f t="shared" si="9"/>
        <v>-3.8461538461538547E-2</v>
      </c>
      <c r="AJ27" s="332">
        <f t="shared" si="9"/>
        <v>-4.0000000000000036E-2</v>
      </c>
      <c r="AO27" s="332">
        <f t="shared" si="10"/>
        <v>6.4102564102566095E-3</v>
      </c>
      <c r="AP27" s="332">
        <f t="shared" si="10"/>
        <v>1.0615711252653925E-2</v>
      </c>
      <c r="AQ27" s="332">
        <f t="shared" si="10"/>
        <v>8.4033613445377853E-3</v>
      </c>
      <c r="AR27" s="332">
        <f t="shared" si="10"/>
        <v>2.5000000000000133E-2</v>
      </c>
      <c r="AS27" s="332">
        <f t="shared" si="10"/>
        <v>3.2520325203251987E-2</v>
      </c>
      <c r="AT27" s="332">
        <f>AT17/AN17-1</f>
        <v>2.2435897435897578E-2</v>
      </c>
      <c r="AU27" s="332">
        <f t="shared" si="11"/>
        <v>3.6572622779519337E-2</v>
      </c>
      <c r="AV27" s="332">
        <f t="shared" si="11"/>
        <v>4.0322580645161255E-2</v>
      </c>
      <c r="AW27" s="332">
        <f t="shared" si="11"/>
        <v>3.8759689922480689E-2</v>
      </c>
      <c r="AX27" s="332">
        <f t="shared" si="11"/>
        <v>4.4776119402984982E-2</v>
      </c>
      <c r="AY27" s="332">
        <f>AY17/AN17-1</f>
        <v>-6.4102564102563875E-3</v>
      </c>
      <c r="AZ27" s="332">
        <f t="shared" si="12"/>
        <v>-1.0752688172043001E-2</v>
      </c>
      <c r="BA27" s="332">
        <f t="shared" si="12"/>
        <v>-4.3478260869565188E-2</v>
      </c>
      <c r="BB27" s="332">
        <f t="shared" si="12"/>
        <v>-7.2727272727272751E-2</v>
      </c>
      <c r="BC27" s="332">
        <f t="shared" si="12"/>
        <v>-6.8627450980392135E-2</v>
      </c>
      <c r="BI27" t="s">
        <v>267</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783</v>
      </c>
      <c r="D28" s="332">
        <f t="shared" si="4"/>
        <v>0.10909090909090913</v>
      </c>
      <c r="E28" s="332">
        <f t="shared" si="4"/>
        <v>5.7377049180328044E-2</v>
      </c>
      <c r="F28" s="332">
        <f t="shared" si="4"/>
        <v>3.8759689922480689E-2</v>
      </c>
      <c r="G28" s="332">
        <f t="shared" si="4"/>
        <v>3.7313432835820892E-2</v>
      </c>
      <c r="H28" s="332">
        <f t="shared" si="4"/>
        <v>2.877697841726623E-2</v>
      </c>
      <c r="I28" s="332">
        <f>I18/C18-1</f>
        <v>0.15454545454545454</v>
      </c>
      <c r="J28" s="332">
        <f t="shared" si="5"/>
        <v>6.2992125984252079E-2</v>
      </c>
      <c r="K28" s="332">
        <f t="shared" si="5"/>
        <v>5.1851851851851816E-2</v>
      </c>
      <c r="L28" s="332">
        <f t="shared" si="5"/>
        <v>4.2253521126760729E-2</v>
      </c>
      <c r="M28" s="332">
        <f t="shared" si="5"/>
        <v>2.7027027027026973E-2</v>
      </c>
      <c r="N28" s="332">
        <f>N18/C18-1</f>
        <v>8.181818181818179E-2</v>
      </c>
      <c r="O28" s="332">
        <f t="shared" si="6"/>
        <v>8.4033613445377853E-3</v>
      </c>
      <c r="P28" s="332">
        <f t="shared" si="6"/>
        <v>0</v>
      </c>
      <c r="Q28" s="332">
        <f t="shared" si="6"/>
        <v>8.3333333333333037E-3</v>
      </c>
      <c r="R28" s="332">
        <f t="shared" si="6"/>
        <v>0</v>
      </c>
      <c r="V28" s="332">
        <f t="shared" si="7"/>
        <v>1.3513513513513375E-2</v>
      </c>
      <c r="W28" s="332">
        <f t="shared" si="7"/>
        <v>-4.6666666666666634E-2</v>
      </c>
      <c r="X28" s="332">
        <f t="shared" si="7"/>
        <v>1.3986013986013957E-2</v>
      </c>
      <c r="Y28" s="332">
        <f t="shared" si="7"/>
        <v>1.379310344827589E-2</v>
      </c>
      <c r="Z28" s="332">
        <f t="shared" si="7"/>
        <v>6.8027210884353817E-3</v>
      </c>
      <c r="AA28" s="332">
        <f>AA18/U18-1</f>
        <v>3.3783783783783772E-2</v>
      </c>
      <c r="AB28" s="332">
        <f t="shared" si="8"/>
        <v>-3.9215686274509887E-2</v>
      </c>
      <c r="AC28" s="332">
        <f t="shared" si="8"/>
        <v>3.4013605442176909E-2</v>
      </c>
      <c r="AD28" s="332">
        <f t="shared" si="8"/>
        <v>2.6315789473684292E-2</v>
      </c>
      <c r="AE28" s="332">
        <f t="shared" si="8"/>
        <v>2.5641025641025772E-2</v>
      </c>
      <c r="AF28" s="332">
        <f>AF18/U18-1</f>
        <v>6.7567567567567988E-3</v>
      </c>
      <c r="AG28" s="332">
        <f t="shared" si="9"/>
        <v>-9.3959731543624136E-2</v>
      </c>
      <c r="AH28" s="332">
        <f t="shared" si="9"/>
        <v>-4.4444444444444398E-2</v>
      </c>
      <c r="AI28" s="332">
        <f t="shared" si="9"/>
        <v>-3.1007751937984551E-2</v>
      </c>
      <c r="AJ28" s="332">
        <f t="shared" si="9"/>
        <v>-2.4000000000000021E-2</v>
      </c>
      <c r="AO28" s="332">
        <f t="shared" si="10"/>
        <v>-5.9911242603550297E-2</v>
      </c>
      <c r="AP28" s="332">
        <f t="shared" si="10"/>
        <v>-0.10621557828481509</v>
      </c>
      <c r="AQ28" s="332">
        <f t="shared" si="10"/>
        <v>0</v>
      </c>
      <c r="AR28" s="332">
        <f t="shared" si="10"/>
        <v>1.4084507042253502E-2</v>
      </c>
      <c r="AS28" s="332">
        <f t="shared" si="10"/>
        <v>3.4722222222222321E-2</v>
      </c>
      <c r="AT28" s="332">
        <f>AT18/AN18-1</f>
        <v>-4.881656804733725E-2</v>
      </c>
      <c r="AU28" s="332">
        <f t="shared" si="11"/>
        <v>-8.5536547433903598E-2</v>
      </c>
      <c r="AV28" s="332">
        <f t="shared" si="11"/>
        <v>3.4013605442176909E-2</v>
      </c>
      <c r="AW28" s="332">
        <f t="shared" si="11"/>
        <v>4.6052631578947345E-2</v>
      </c>
      <c r="AX28" s="332">
        <f t="shared" si="11"/>
        <v>5.031446540880502E-2</v>
      </c>
      <c r="AY28" s="332">
        <f>AY18/AN18-1</f>
        <v>-7.7662721893490994E-2</v>
      </c>
      <c r="AZ28" s="332">
        <f t="shared" si="12"/>
        <v>-0.14033680834001605</v>
      </c>
      <c r="BA28" s="332">
        <f t="shared" si="12"/>
        <v>-4.4776119402985093E-2</v>
      </c>
      <c r="BB28" s="332">
        <f t="shared" si="12"/>
        <v>-4.6875000000000111E-2</v>
      </c>
      <c r="BC28" s="332">
        <f t="shared" si="12"/>
        <v>-4.0983606557377095E-2</v>
      </c>
      <c r="BI28" t="s">
        <v>795</v>
      </c>
      <c r="BJ28">
        <v>80</v>
      </c>
      <c r="BK28">
        <f t="shared" ref="BK28:BP28" si="13">BJ28</f>
        <v>80</v>
      </c>
      <c r="BL28">
        <f t="shared" si="13"/>
        <v>80</v>
      </c>
      <c r="BM28">
        <f t="shared" si="13"/>
        <v>80</v>
      </c>
      <c r="BN28">
        <f t="shared" si="13"/>
        <v>80</v>
      </c>
      <c r="BO28">
        <f t="shared" si="13"/>
        <v>80</v>
      </c>
      <c r="BP28">
        <f t="shared" si="13"/>
        <v>80</v>
      </c>
    </row>
    <row r="29" spans="2:68" x14ac:dyDescent="0.25">
      <c r="D29" s="332">
        <f t="shared" si="4"/>
        <v>4.5362903225806495E-2</v>
      </c>
      <c r="E29" s="332">
        <f t="shared" si="4"/>
        <v>2.5072324011571778E-2</v>
      </c>
      <c r="F29" s="332">
        <f t="shared" si="4"/>
        <v>1.6933207902163572E-2</v>
      </c>
      <c r="G29" s="332">
        <f t="shared" si="4"/>
        <v>1.1100832562442209E-2</v>
      </c>
      <c r="H29" s="332">
        <f t="shared" si="4"/>
        <v>6.4043915827995956E-3</v>
      </c>
      <c r="I29" s="332">
        <f>I19/C19-1</f>
        <v>5.4435483870967749E-2</v>
      </c>
      <c r="J29" s="332">
        <f t="shared" si="5"/>
        <v>4.2065009560229516E-2</v>
      </c>
      <c r="K29" s="332">
        <f t="shared" si="5"/>
        <v>3.4862385321100975E-2</v>
      </c>
      <c r="L29" s="332">
        <f t="shared" si="5"/>
        <v>2.7482269503546153E-2</v>
      </c>
      <c r="M29" s="332">
        <f t="shared" si="5"/>
        <v>2.1570319240724833E-2</v>
      </c>
      <c r="N29" s="332">
        <f>N19/C19-1</f>
        <v>1.1088709677419262E-2</v>
      </c>
      <c r="O29" s="332">
        <f t="shared" si="6"/>
        <v>-6.9790628115653064E-2</v>
      </c>
      <c r="P29" s="332">
        <f t="shared" si="6"/>
        <v>-0.10825294748124326</v>
      </c>
      <c r="Q29" s="332">
        <f t="shared" si="6"/>
        <v>-0.11418269230769229</v>
      </c>
      <c r="R29" s="332">
        <f t="shared" si="6"/>
        <v>-8.1411126187245553E-2</v>
      </c>
      <c r="V29" s="332">
        <f t="shared" si="7"/>
        <v>-0.12074554294975692</v>
      </c>
      <c r="W29" s="332">
        <f t="shared" si="7"/>
        <v>3.2258064516129004E-2</v>
      </c>
      <c r="X29" s="332">
        <f t="shared" si="7"/>
        <v>8.9285714285713969E-3</v>
      </c>
      <c r="Y29" s="332">
        <f t="shared" si="7"/>
        <v>8.8495575221239076E-3</v>
      </c>
      <c r="Z29" s="332">
        <f t="shared" si="7"/>
        <v>8.7719298245614308E-3</v>
      </c>
      <c r="AA29" s="332">
        <f>AA19/U19-1</f>
        <v>-0.10858995137763372</v>
      </c>
      <c r="AB29" s="332">
        <f t="shared" si="8"/>
        <v>4.5454545454545414E-2</v>
      </c>
      <c r="AC29" s="332">
        <f t="shared" si="8"/>
        <v>3.6521739130434883E-2</v>
      </c>
      <c r="AD29" s="332">
        <f t="shared" si="8"/>
        <v>2.7684563758389347E-2</v>
      </c>
      <c r="AE29" s="332">
        <f t="shared" si="8"/>
        <v>2.0408163265306145E-2</v>
      </c>
      <c r="AF29" s="332">
        <f>AF19/U19-1</f>
        <v>-0.14667747163695311</v>
      </c>
      <c r="AG29" s="332">
        <f t="shared" si="9"/>
        <v>-7.407407407407407E-2</v>
      </c>
      <c r="AH29" s="332">
        <f t="shared" si="9"/>
        <v>-8.7179487179487203E-2</v>
      </c>
      <c r="AI29" s="332">
        <f t="shared" si="9"/>
        <v>-0.1235955056179775</v>
      </c>
      <c r="AJ29" s="332">
        <f t="shared" si="9"/>
        <v>-0.10256410256410253</v>
      </c>
      <c r="AO29" s="332">
        <f t="shared" si="10"/>
        <v>2.6515151515151603E-2</v>
      </c>
      <c r="AP29" s="332">
        <f t="shared" si="10"/>
        <v>4.3050430504305126E-2</v>
      </c>
      <c r="AQ29" s="332">
        <f t="shared" si="10"/>
        <v>2.8301886792452935E-2</v>
      </c>
      <c r="AR29" s="332">
        <f t="shared" si="10"/>
        <v>9.1743119266054496E-3</v>
      </c>
      <c r="AS29" s="332">
        <f t="shared" si="10"/>
        <v>0</v>
      </c>
      <c r="AT29" s="332">
        <f>AT19/AN19-1</f>
        <v>4.924242424242431E-2</v>
      </c>
      <c r="AU29" s="332">
        <f t="shared" si="11"/>
        <v>7.8219013237063706E-2</v>
      </c>
      <c r="AV29" s="332">
        <f t="shared" si="11"/>
        <v>3.5714285714285809E-2</v>
      </c>
      <c r="AW29" s="332">
        <f t="shared" si="11"/>
        <v>1.7241379310344751E-2</v>
      </c>
      <c r="AX29" s="332">
        <f t="shared" si="11"/>
        <v>1.6949152542372836E-2</v>
      </c>
      <c r="AY29" s="332">
        <f>AY19/AN19-1</f>
        <v>7.575757575757569E-3</v>
      </c>
      <c r="AZ29" s="332">
        <f t="shared" si="12"/>
        <v>1.2531328320801949E-2</v>
      </c>
      <c r="BA29" s="332">
        <f t="shared" si="12"/>
        <v>-5.9405940594059459E-2</v>
      </c>
      <c r="BB29" s="332">
        <f t="shared" si="12"/>
        <v>-9.4736842105263119E-2</v>
      </c>
      <c r="BC29" s="332">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774</v>
      </c>
      <c r="AM31" t="s">
        <v>774</v>
      </c>
    </row>
    <row r="32" spans="2:68" x14ac:dyDescent="0.25">
      <c r="U32">
        <v>2011</v>
      </c>
      <c r="V32" s="104">
        <v>2015</v>
      </c>
      <c r="W32" s="224">
        <v>2020</v>
      </c>
      <c r="X32" s="224">
        <v>2025</v>
      </c>
      <c r="Y32" s="224">
        <v>2030</v>
      </c>
      <c r="Z32" s="225">
        <v>2035</v>
      </c>
      <c r="AA32" s="104">
        <v>2015</v>
      </c>
      <c r="AB32" s="224">
        <v>2020</v>
      </c>
      <c r="AC32" s="224">
        <v>2025</v>
      </c>
      <c r="AD32" s="224">
        <v>2030</v>
      </c>
      <c r="AE32" s="225">
        <v>2035</v>
      </c>
      <c r="AF32" s="104">
        <v>2015</v>
      </c>
      <c r="AG32" s="224">
        <v>2020</v>
      </c>
      <c r="AH32" s="224">
        <v>2025</v>
      </c>
      <c r="AI32" s="224">
        <v>2030</v>
      </c>
      <c r="AJ32" s="225">
        <v>2035</v>
      </c>
      <c r="AN32">
        <v>2011</v>
      </c>
      <c r="AO32" s="104">
        <v>2015</v>
      </c>
      <c r="AP32" s="224">
        <v>2020</v>
      </c>
      <c r="AQ32" s="224">
        <v>2025</v>
      </c>
      <c r="AR32" s="224">
        <v>2030</v>
      </c>
      <c r="AS32" s="225">
        <v>2035</v>
      </c>
      <c r="AT32" s="104">
        <v>2015</v>
      </c>
      <c r="AU32" s="224">
        <v>2020</v>
      </c>
      <c r="AV32" s="224">
        <v>2025</v>
      </c>
      <c r="AW32" s="224">
        <v>2030</v>
      </c>
      <c r="AX32" s="225">
        <v>2035</v>
      </c>
      <c r="AY32" s="104">
        <v>2015</v>
      </c>
      <c r="AZ32" s="224">
        <v>2020</v>
      </c>
      <c r="BA32" s="224">
        <v>2025</v>
      </c>
      <c r="BB32" s="224">
        <v>2030</v>
      </c>
      <c r="BC32" s="225">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796</v>
      </c>
    </row>
    <row r="35" spans="2:55" x14ac:dyDescent="0.25">
      <c r="C35" t="s">
        <v>675</v>
      </c>
      <c r="D35" t="s">
        <v>797</v>
      </c>
      <c r="E35" t="s">
        <v>798</v>
      </c>
      <c r="F35" t="s">
        <v>799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772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775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776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3">
        <f>(V33/U33)^(1/(V32-U32))-1</f>
        <v>1.8970074044000862E-2</v>
      </c>
      <c r="W42" s="333">
        <f>(W33/V33)^(1/(W32-V32))-1</f>
        <v>5.962944044239471E-3</v>
      </c>
      <c r="X42" s="333">
        <f>(X33/W33)^(1/(X32-W32))-1</f>
        <v>3.9848515148914743E-3</v>
      </c>
      <c r="Y42" s="333">
        <f>(Y33/X33)^(1/(Y32-X32))-1</f>
        <v>2.773741429406007E-3</v>
      </c>
      <c r="Z42" s="333">
        <f>(Z33/Y33)^(1/(Z32-Y32))-1</f>
        <v>2.2551775519457085E-3</v>
      </c>
      <c r="AA42" s="333">
        <f>(AA33/U33)^(1/(AA32-U32))-1</f>
        <v>2.4200203441211432E-2</v>
      </c>
      <c r="AB42" s="333">
        <f>(AB33/AA33)^(1/(AB32-AA32))-1</f>
        <v>1.6190173044798639E-2</v>
      </c>
      <c r="AC42" s="333">
        <f>(AC33/AB33)^(1/(AC32-AB32))-1</f>
        <v>1.1129093467930451E-2</v>
      </c>
      <c r="AD42" s="333">
        <f>(AD33/AC33)^(1/(AD32-AC32))-1</f>
        <v>7.9835969709516341E-3</v>
      </c>
      <c r="AE42" s="333">
        <f>(AE33/AD33)^(1/(AE32-AD32))-1</f>
        <v>5.4678712507574279E-3</v>
      </c>
      <c r="AF42" s="333">
        <f>(AF33/U33)^(1/(AF32-U32))-1</f>
        <v>1.7429343745218651E-2</v>
      </c>
      <c r="AG42" s="333">
        <f>(AG33/AF33)^(1/(AG32-AF32))-1</f>
        <v>-3.4935352041365331E-3</v>
      </c>
      <c r="AH42" s="333">
        <f>(AH33/AG33)^(1/(AH32-AG32))-1</f>
        <v>-7.5263888527359324E-3</v>
      </c>
      <c r="AI42" s="333">
        <f>(AI33/AH33)^(1/(AI32-AH32))-1</f>
        <v>-8.1993553946574371E-3</v>
      </c>
      <c r="AJ42" s="333">
        <f>(AJ33/AI33)^(1/(AJ32-AI32))-1</f>
        <v>-9.1437259266209381E-3</v>
      </c>
      <c r="AO42" s="333">
        <f>(AO33/AN33)^(1/(AO32-AN32))-1</f>
        <v>3.4227539726290335E-3</v>
      </c>
      <c r="AP42" s="333">
        <f>(AP33/AO33)^(1/(AP32-AO32))-1</f>
        <v>4.4844848921270497E-3</v>
      </c>
      <c r="AQ42" s="333">
        <f>(AQ33/AP33)^(1/(AQ32-AP32))-1</f>
        <v>5.2542297827959938E-3</v>
      </c>
      <c r="AR42" s="333">
        <f>(AR33/AQ33)^(1/(AR32-AQ32))-1</f>
        <v>8.4757887127040465E-3</v>
      </c>
      <c r="AS42" s="333">
        <f>(AS33/AR33)^(1/(AS32-AR32))-1</f>
        <v>1.1311439625934394E-2</v>
      </c>
      <c r="AT42" s="333">
        <f>(AT33/AN33)^(1/(AT32-AN32))-1</f>
        <v>9.3296321558093975E-3</v>
      </c>
      <c r="AU42" s="333">
        <f>(AU33/AT33)^(1/(AU32-AT32))-1</f>
        <v>1.1869558861851592E-2</v>
      </c>
      <c r="AV42" s="333">
        <f>(AV33/AU33)^(1/(AV32-AU32))-1</f>
        <v>1.1403599651385044E-2</v>
      </c>
      <c r="AW42" s="333">
        <f>(AW33/AV33)^(1/(AW32-AV32))-1</f>
        <v>1.3787746070069717E-2</v>
      </c>
      <c r="AX42" s="333">
        <f>(AX33/AW33)^(1/(AX32-AW32))-1</f>
        <v>1.2898245280189125E-2</v>
      </c>
      <c r="AY42" s="333">
        <f>(AY33/AN33)^(1/(AY32-AN32))-1</f>
        <v>8.5898432806441605E-4</v>
      </c>
      <c r="AZ42" s="333">
        <f>(AZ33/AY33)^(1/(AZ32-AY32))-1</f>
        <v>1.140253818557202E-3</v>
      </c>
      <c r="BA42" s="333">
        <f>(BA33/AZ33)^(1/(BA32-AZ32))-1</f>
        <v>-5.5150422735510407E-3</v>
      </c>
      <c r="BB42" s="333">
        <f>(BB33/BA33)^(1/(BB32-BA32))-1</f>
        <v>-5.6714433615395743E-3</v>
      </c>
      <c r="BC42" s="333">
        <f>(BC33/BB33)^(1/(BC32-BB32))-1</f>
        <v>-7.8134576287804958E-3</v>
      </c>
    </row>
    <row r="43" spans="2:55" x14ac:dyDescent="0.25">
      <c r="B43" t="s">
        <v>776</v>
      </c>
      <c r="D43">
        <v>2011</v>
      </c>
      <c r="E43">
        <v>2015</v>
      </c>
      <c r="F43">
        <v>2020</v>
      </c>
      <c r="G43">
        <v>2025</v>
      </c>
      <c r="H43">
        <v>2030</v>
      </c>
      <c r="I43">
        <v>2035</v>
      </c>
      <c r="V43" s="334">
        <f>AVERAGE(V42:Z42)</f>
        <v>6.7893577168967045E-3</v>
      </c>
      <c r="W43" s="334"/>
      <c r="X43" s="334"/>
      <c r="Y43" s="334"/>
      <c r="Z43" s="334"/>
      <c r="AA43" s="334">
        <f>AVERAGE(AA42:AE42)</f>
        <v>1.2994187635129916E-2</v>
      </c>
      <c r="AB43" s="334"/>
      <c r="AC43" s="334"/>
      <c r="AD43" s="334"/>
      <c r="AE43" s="334"/>
      <c r="AF43" s="334">
        <f>AVERAGE(AF42:AJ42)</f>
        <v>-2.1867323265864378E-3</v>
      </c>
      <c r="AG43" s="334"/>
      <c r="AH43" s="334"/>
      <c r="AI43" s="334"/>
      <c r="AJ43" s="334"/>
      <c r="AO43" s="334">
        <f>AVERAGE(AO42:AS42)</f>
        <v>6.5897393972381034E-3</v>
      </c>
      <c r="AP43" s="334"/>
      <c r="AQ43" s="334"/>
      <c r="AR43" s="334"/>
      <c r="AS43" s="334"/>
      <c r="AT43" s="334">
        <f>AVERAGE(AT42:AX42)</f>
        <v>1.1857756403860975E-2</v>
      </c>
      <c r="AU43" s="334"/>
      <c r="AV43" s="334"/>
      <c r="AW43" s="334"/>
      <c r="AX43" s="334"/>
      <c r="AY43" s="334">
        <f>AVERAGE(AY42:BC42)</f>
        <v>-3.4001410234498985E-3</v>
      </c>
      <c r="AZ43" s="334"/>
      <c r="BA43" s="334"/>
      <c r="BB43" s="334"/>
      <c r="BC43" s="334"/>
    </row>
    <row r="44" spans="2:55" x14ac:dyDescent="0.25">
      <c r="B44" t="s">
        <v>800</v>
      </c>
      <c r="C44" t="s">
        <v>678</v>
      </c>
      <c r="D44">
        <v>107.6</v>
      </c>
      <c r="E44">
        <v>118.4</v>
      </c>
      <c r="F44">
        <v>128.30000000000001</v>
      </c>
      <c r="G44">
        <v>135.69999999999999</v>
      </c>
      <c r="H44">
        <v>141.1</v>
      </c>
      <c r="I44">
        <v>145</v>
      </c>
      <c r="V44" s="334"/>
      <c r="W44" s="334"/>
      <c r="X44" s="334"/>
      <c r="Y44" s="334"/>
      <c r="Z44" s="334"/>
      <c r="AA44" s="334">
        <f>AA43-V43</f>
        <v>6.2048299182332119E-3</v>
      </c>
      <c r="AB44" s="334"/>
      <c r="AC44" s="334"/>
      <c r="AD44" s="334"/>
      <c r="AE44" s="334"/>
      <c r="AF44" s="334">
        <f>V43-AF43</f>
        <v>8.9760900434831432E-3</v>
      </c>
      <c r="AG44" s="334"/>
      <c r="AH44" s="334"/>
      <c r="AI44" s="334"/>
      <c r="AJ44" s="334"/>
      <c r="AO44" s="334"/>
      <c r="AP44" s="334"/>
      <c r="AQ44" s="334"/>
      <c r="AR44" s="334"/>
      <c r="AS44" s="334"/>
      <c r="AT44" s="334">
        <f>AT43-AO43</f>
        <v>5.2680170066228714E-3</v>
      </c>
      <c r="AU44" s="334"/>
      <c r="AV44" s="334"/>
      <c r="AW44" s="334"/>
      <c r="AX44" s="334"/>
      <c r="AY44" s="334">
        <f>AO43-AY43</f>
        <v>9.9898804206880014E-3</v>
      </c>
      <c r="AZ44" s="334"/>
      <c r="BA44" s="334"/>
      <c r="BB44" s="334"/>
      <c r="BC44" s="334"/>
    </row>
    <row r="45" spans="2:55" x14ac:dyDescent="0.25">
      <c r="B45" t="s">
        <v>801</v>
      </c>
      <c r="C45" t="s">
        <v>802</v>
      </c>
      <c r="D45">
        <v>14.8</v>
      </c>
      <c r="E45">
        <v>15.3</v>
      </c>
      <c r="F45">
        <v>14.7</v>
      </c>
      <c r="G45">
        <v>15.2</v>
      </c>
      <c r="H45">
        <v>15.6</v>
      </c>
      <c r="I45">
        <v>16</v>
      </c>
      <c r="V45" s="330">
        <f t="shared" ref="V45:Z48" si="16">V35/U35-1</f>
        <v>0.12195121951219523</v>
      </c>
      <c r="W45" s="330">
        <f t="shared" si="16"/>
        <v>0.17391304347826098</v>
      </c>
      <c r="X45" s="330">
        <f t="shared" si="16"/>
        <v>0.16666666666666652</v>
      </c>
      <c r="Y45" s="330">
        <f t="shared" si="16"/>
        <v>0.12698412698412698</v>
      </c>
      <c r="Z45" s="330">
        <f t="shared" si="16"/>
        <v>0.12676056338028174</v>
      </c>
      <c r="AA45" s="330">
        <f>AA35/U35-1</f>
        <v>0.12195121951219523</v>
      </c>
      <c r="AB45" s="330">
        <f t="shared" ref="AB45:AE48" si="17">AB35/AA35-1</f>
        <v>0.19565217391304368</v>
      </c>
      <c r="AC45" s="330">
        <f t="shared" si="17"/>
        <v>0.1636363636363638</v>
      </c>
      <c r="AD45" s="330">
        <f t="shared" si="17"/>
        <v>0.125</v>
      </c>
      <c r="AE45" s="330">
        <f t="shared" si="17"/>
        <v>0.11111111111111116</v>
      </c>
      <c r="AF45" s="330">
        <f>AF35/U35-1</f>
        <v>7.317073170731736E-2</v>
      </c>
      <c r="AG45" s="330">
        <f t="shared" ref="AG45:AJ48" si="18">AG35/AF35-1</f>
        <v>0.25</v>
      </c>
      <c r="AH45" s="330">
        <f t="shared" si="18"/>
        <v>0.25454545454545463</v>
      </c>
      <c r="AI45" s="330">
        <f t="shared" si="18"/>
        <v>0.10144927536231862</v>
      </c>
      <c r="AJ45" s="330">
        <f t="shared" si="18"/>
        <v>0</v>
      </c>
      <c r="AO45" s="330">
        <f t="shared" ref="AO45:AS48" si="19">AO35/AN35-1</f>
        <v>0.33333333333333304</v>
      </c>
      <c r="AP45" s="330">
        <f t="shared" si="19"/>
        <v>0.41666666666666674</v>
      </c>
      <c r="AQ45" s="330">
        <f t="shared" si="19"/>
        <v>9.8039215686274606E-2</v>
      </c>
      <c r="AR45" s="330">
        <f t="shared" si="19"/>
        <v>7.1428571428571397E-2</v>
      </c>
      <c r="AS45" s="330">
        <f t="shared" si="19"/>
        <v>0.1333333333333333</v>
      </c>
      <c r="AT45" s="330">
        <f>AT35/AN35-1</f>
        <v>0.3472222222222221</v>
      </c>
      <c r="AU45" s="330">
        <f t="shared" ref="AU45:AX48" si="20">AU35/AT35-1</f>
        <v>0.42955326460481102</v>
      </c>
      <c r="AV45" s="330">
        <f t="shared" si="20"/>
        <v>0.11538461538461542</v>
      </c>
      <c r="AW45" s="330">
        <f t="shared" si="20"/>
        <v>6.8965517241379448E-2</v>
      </c>
      <c r="AX45" s="330">
        <f t="shared" si="20"/>
        <v>0.11290322580645173</v>
      </c>
      <c r="AY45" s="330">
        <f>AY35/AN35-1</f>
        <v>0.29166666666666652</v>
      </c>
      <c r="AZ45" s="330">
        <f t="shared" ref="AZ45:BC48" si="21">AZ35/AY35-1</f>
        <v>0.37634408602150549</v>
      </c>
      <c r="BA45" s="330">
        <f t="shared" si="21"/>
        <v>0.12500000000000022</v>
      </c>
      <c r="BB45" s="330">
        <f t="shared" si="21"/>
        <v>5.555555555555558E-2</v>
      </c>
      <c r="BC45" s="330">
        <f t="shared" si="21"/>
        <v>3.5087719298245723E-2</v>
      </c>
    </row>
    <row r="46" spans="2:55" x14ac:dyDescent="0.25">
      <c r="V46" s="330">
        <f t="shared" si="16"/>
        <v>0.14583333333333348</v>
      </c>
      <c r="W46" s="330">
        <f t="shared" si="16"/>
        <v>4.5454545454545414E-2</v>
      </c>
      <c r="X46" s="330">
        <f t="shared" si="16"/>
        <v>3.4782608695652195E-2</v>
      </c>
      <c r="Y46" s="330">
        <f t="shared" si="16"/>
        <v>2.5210084033613356E-2</v>
      </c>
      <c r="Z46" s="330">
        <f t="shared" si="16"/>
        <v>2.4590163934426368E-2</v>
      </c>
      <c r="AA46" s="330">
        <f>AA36/U36-1</f>
        <v>0.15625</v>
      </c>
      <c r="AB46" s="330">
        <f t="shared" si="17"/>
        <v>9.0090090090090058E-2</v>
      </c>
      <c r="AC46" s="330">
        <f t="shared" si="17"/>
        <v>6.6115702479338845E-2</v>
      </c>
      <c r="AD46" s="330">
        <f t="shared" si="17"/>
        <v>3.8759689922480689E-2</v>
      </c>
      <c r="AE46" s="330">
        <f t="shared" si="17"/>
        <v>2.2388059701492491E-2</v>
      </c>
      <c r="AF46" s="330">
        <f>AF36/U36-1</f>
        <v>0.13541666666666674</v>
      </c>
      <c r="AG46" s="330">
        <f t="shared" si="18"/>
        <v>-9.1743119266054496E-3</v>
      </c>
      <c r="AH46" s="330">
        <f t="shared" si="18"/>
        <v>-3.703703703703709E-2</v>
      </c>
      <c r="AI46" s="330">
        <f t="shared" si="18"/>
        <v>-3.8461538461538547E-2</v>
      </c>
      <c r="AJ46" s="330">
        <f t="shared" si="18"/>
        <v>-4.0000000000000036E-2</v>
      </c>
      <c r="AO46" s="330">
        <f t="shared" si="19"/>
        <v>6.4102564102566095E-3</v>
      </c>
      <c r="AP46" s="330">
        <f t="shared" si="19"/>
        <v>1.0615711252653925E-2</v>
      </c>
      <c r="AQ46" s="330">
        <f t="shared" si="19"/>
        <v>8.4033613445377853E-3</v>
      </c>
      <c r="AR46" s="330">
        <f t="shared" si="19"/>
        <v>2.5000000000000133E-2</v>
      </c>
      <c r="AS46" s="330">
        <f t="shared" si="19"/>
        <v>3.2520325203251987E-2</v>
      </c>
      <c r="AT46" s="330">
        <f>AT36/AN36-1</f>
        <v>2.2435897435897578E-2</v>
      </c>
      <c r="AU46" s="330">
        <f t="shared" si="20"/>
        <v>3.6572622779519337E-2</v>
      </c>
      <c r="AV46" s="330">
        <f t="shared" si="20"/>
        <v>4.0322580645161255E-2</v>
      </c>
      <c r="AW46" s="330">
        <f t="shared" si="20"/>
        <v>3.8759689922480689E-2</v>
      </c>
      <c r="AX46" s="330">
        <f t="shared" si="20"/>
        <v>4.4776119402984982E-2</v>
      </c>
      <c r="AY46" s="330">
        <f>AY36/AN36-1</f>
        <v>-6.4102564102563875E-3</v>
      </c>
      <c r="AZ46" s="330">
        <f t="shared" si="21"/>
        <v>-1.0752688172043001E-2</v>
      </c>
      <c r="BA46" s="330">
        <f t="shared" si="21"/>
        <v>-4.3478260869565188E-2</v>
      </c>
      <c r="BB46" s="330">
        <f t="shared" si="21"/>
        <v>-7.2727272727272751E-2</v>
      </c>
      <c r="BC46" s="330">
        <f t="shared" si="21"/>
        <v>-6.8627450980392135E-2</v>
      </c>
    </row>
    <row r="47" spans="2:55" x14ac:dyDescent="0.25">
      <c r="B47" t="s">
        <v>803</v>
      </c>
      <c r="D47" s="258">
        <f t="shared" ref="D47:I47" si="22">D45/D44</f>
        <v>0.13754646840148702</v>
      </c>
      <c r="E47" s="258">
        <f t="shared" si="22"/>
        <v>0.12922297297297297</v>
      </c>
      <c r="F47" s="258">
        <f t="shared" si="22"/>
        <v>0.11457521434138736</v>
      </c>
      <c r="G47" s="258">
        <f t="shared" si="22"/>
        <v>0.11201179071481208</v>
      </c>
      <c r="H47" s="258">
        <f t="shared" si="22"/>
        <v>0.1105598866052445</v>
      </c>
      <c r="I47" s="258">
        <f t="shared" si="22"/>
        <v>0.1103448275862069</v>
      </c>
      <c r="V47" s="330">
        <f t="shared" si="16"/>
        <v>1.3513513513513375E-2</v>
      </c>
      <c r="W47" s="330">
        <f t="shared" si="16"/>
        <v>-4.6666666666666634E-2</v>
      </c>
      <c r="X47" s="330">
        <f t="shared" si="16"/>
        <v>1.3986013986013957E-2</v>
      </c>
      <c r="Y47" s="330">
        <f t="shared" si="16"/>
        <v>1.379310344827589E-2</v>
      </c>
      <c r="Z47" s="330">
        <f t="shared" si="16"/>
        <v>6.8027210884353817E-3</v>
      </c>
      <c r="AA47" s="330">
        <f>AA37/U37-1</f>
        <v>3.3783783783783772E-2</v>
      </c>
      <c r="AB47" s="330">
        <f t="shared" si="17"/>
        <v>-3.9215686274509887E-2</v>
      </c>
      <c r="AC47" s="330">
        <f t="shared" si="17"/>
        <v>3.4013605442176909E-2</v>
      </c>
      <c r="AD47" s="330">
        <f t="shared" si="17"/>
        <v>2.6315789473684292E-2</v>
      </c>
      <c r="AE47" s="330">
        <f t="shared" si="17"/>
        <v>2.5641025641025772E-2</v>
      </c>
      <c r="AF47" s="330">
        <f>AF37/U37-1</f>
        <v>6.7567567567567988E-3</v>
      </c>
      <c r="AG47" s="330">
        <f t="shared" si="18"/>
        <v>-9.3959731543624136E-2</v>
      </c>
      <c r="AH47" s="330">
        <f t="shared" si="18"/>
        <v>-4.4444444444444398E-2</v>
      </c>
      <c r="AI47" s="330">
        <f t="shared" si="18"/>
        <v>-3.1007751937984551E-2</v>
      </c>
      <c r="AJ47" s="330">
        <f t="shared" si="18"/>
        <v>-2.4000000000000021E-2</v>
      </c>
      <c r="AO47" s="330">
        <f t="shared" si="19"/>
        <v>-5.9911242603550185E-2</v>
      </c>
      <c r="AP47" s="330">
        <f t="shared" si="19"/>
        <v>-0.10621557828481509</v>
      </c>
      <c r="AQ47" s="330">
        <f t="shared" si="19"/>
        <v>0</v>
      </c>
      <c r="AR47" s="330">
        <f t="shared" si="19"/>
        <v>1.4084507042253502E-2</v>
      </c>
      <c r="AS47" s="330">
        <f t="shared" si="19"/>
        <v>3.4722222222222321E-2</v>
      </c>
      <c r="AT47" s="330">
        <f>AT37/AN37-1</f>
        <v>-4.8816568047337139E-2</v>
      </c>
      <c r="AU47" s="330">
        <f t="shared" si="20"/>
        <v>-8.5536547433903598E-2</v>
      </c>
      <c r="AV47" s="330">
        <f t="shared" si="20"/>
        <v>3.4013605442176909E-2</v>
      </c>
      <c r="AW47" s="330">
        <f t="shared" si="20"/>
        <v>4.6052631578947345E-2</v>
      </c>
      <c r="AX47" s="330">
        <f t="shared" si="20"/>
        <v>5.0314465408804798E-2</v>
      </c>
      <c r="AY47" s="330">
        <f>AY37/AN37-1</f>
        <v>-7.7662721893490883E-2</v>
      </c>
      <c r="AZ47" s="330">
        <f t="shared" si="21"/>
        <v>-0.14033680834001605</v>
      </c>
      <c r="BA47" s="330">
        <f t="shared" si="21"/>
        <v>-4.4776119402985093E-2</v>
      </c>
      <c r="BB47" s="330">
        <f t="shared" si="21"/>
        <v>-4.6875000000000111E-2</v>
      </c>
      <c r="BC47" s="330">
        <f t="shared" si="21"/>
        <v>-4.0983606557377095E-2</v>
      </c>
    </row>
    <row r="48" spans="2:55" x14ac:dyDescent="0.25">
      <c r="B48" t="s">
        <v>804</v>
      </c>
      <c r="D48" s="292">
        <f>AVERAGE(D47:I47)</f>
        <v>0.11904352677035181</v>
      </c>
      <c r="V48" s="330">
        <f t="shared" si="16"/>
        <v>-0.12074554294975681</v>
      </c>
      <c r="W48" s="330">
        <f t="shared" si="16"/>
        <v>3.2258064516129004E-2</v>
      </c>
      <c r="X48" s="330">
        <f t="shared" si="16"/>
        <v>8.9285714285713969E-3</v>
      </c>
      <c r="Y48" s="330">
        <f t="shared" si="16"/>
        <v>8.8495575221239076E-3</v>
      </c>
      <c r="Z48" s="330">
        <f t="shared" si="16"/>
        <v>8.7719298245614308E-3</v>
      </c>
      <c r="AA48" s="330">
        <f>AA38/U38-1</f>
        <v>-0.10858995137763383</v>
      </c>
      <c r="AB48" s="330">
        <f t="shared" si="17"/>
        <v>4.5454545454545636E-2</v>
      </c>
      <c r="AC48" s="330">
        <f t="shared" si="17"/>
        <v>3.6521739130434883E-2</v>
      </c>
      <c r="AD48" s="330">
        <f t="shared" si="17"/>
        <v>2.7684563758389125E-2</v>
      </c>
      <c r="AE48" s="330">
        <f t="shared" si="17"/>
        <v>2.0408163265306145E-2</v>
      </c>
      <c r="AF48" s="330">
        <f>AF38/U38-1</f>
        <v>-0.14667747163695299</v>
      </c>
      <c r="AG48" s="330">
        <f t="shared" si="18"/>
        <v>-7.407407407407407E-2</v>
      </c>
      <c r="AH48" s="330">
        <f t="shared" si="18"/>
        <v>-8.7179487179487203E-2</v>
      </c>
      <c r="AI48" s="330">
        <f t="shared" si="18"/>
        <v>-0.12359550561797761</v>
      </c>
      <c r="AJ48" s="330">
        <f t="shared" si="18"/>
        <v>-0.10256410256410253</v>
      </c>
      <c r="AO48" s="330">
        <f t="shared" si="19"/>
        <v>2.6515151515151603E-2</v>
      </c>
      <c r="AP48" s="330">
        <f t="shared" si="19"/>
        <v>4.3050430504304904E-2</v>
      </c>
      <c r="AQ48" s="330">
        <f t="shared" si="19"/>
        <v>2.8301886792452935E-2</v>
      </c>
      <c r="AR48" s="330">
        <f t="shared" si="19"/>
        <v>9.1743119266054496E-3</v>
      </c>
      <c r="AS48" s="330">
        <f t="shared" si="19"/>
        <v>0</v>
      </c>
      <c r="AT48" s="330">
        <f>AT38/AN38-1</f>
        <v>4.9242424242424088E-2</v>
      </c>
      <c r="AU48" s="330">
        <f t="shared" si="20"/>
        <v>7.8219013237063706E-2</v>
      </c>
      <c r="AV48" s="330">
        <f t="shared" si="20"/>
        <v>3.5714285714285809E-2</v>
      </c>
      <c r="AW48" s="330">
        <f t="shared" si="20"/>
        <v>1.7241379310344751E-2</v>
      </c>
      <c r="AX48" s="330">
        <f t="shared" si="20"/>
        <v>1.6949152542372836E-2</v>
      </c>
      <c r="AY48" s="330">
        <f>AY38/AN38-1</f>
        <v>7.575757575757569E-3</v>
      </c>
      <c r="AZ48" s="330">
        <f t="shared" si="21"/>
        <v>1.2531328320801949E-2</v>
      </c>
      <c r="BA48" s="330">
        <f t="shared" si="21"/>
        <v>-5.9405940594059348E-2</v>
      </c>
      <c r="BB48" s="330">
        <f t="shared" si="21"/>
        <v>-9.473684210526323E-2</v>
      </c>
      <c r="BC48" s="330">
        <f t="shared" si="21"/>
        <v>-0.12790697674418594</v>
      </c>
    </row>
    <row r="52" spans="40:93" x14ac:dyDescent="0.25">
      <c r="AN52" t="s">
        <v>805</v>
      </c>
      <c r="AY52" t="s">
        <v>806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791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792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793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807</v>
      </c>
      <c r="BI65" t="s">
        <v>794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5">
        <v>2010</v>
      </c>
      <c r="F66" s="335">
        <v>2011</v>
      </c>
      <c r="G66" s="335">
        <v>2012</v>
      </c>
      <c r="H66" s="335">
        <v>2013</v>
      </c>
      <c r="I66" s="335">
        <v>2014</v>
      </c>
      <c r="J66" s="335">
        <v>2015</v>
      </c>
      <c r="K66" s="335">
        <v>2016</v>
      </c>
      <c r="L66" s="335">
        <v>2017</v>
      </c>
      <c r="M66" s="335">
        <v>2018</v>
      </c>
      <c r="N66" s="335">
        <v>2019</v>
      </c>
      <c r="O66" s="335">
        <v>2020</v>
      </c>
      <c r="P66" s="335">
        <v>2021</v>
      </c>
      <c r="Q66" s="335">
        <v>2022</v>
      </c>
      <c r="R66" s="335">
        <v>2023</v>
      </c>
      <c r="S66" s="335">
        <v>2024</v>
      </c>
      <c r="T66" s="335">
        <v>2025</v>
      </c>
      <c r="U66" s="335">
        <v>2026</v>
      </c>
      <c r="V66" s="335">
        <v>2027</v>
      </c>
      <c r="W66" s="335">
        <v>2028</v>
      </c>
      <c r="X66" s="335">
        <v>2029</v>
      </c>
      <c r="Y66" s="335">
        <v>2030</v>
      </c>
      <c r="Z66" s="335">
        <v>2031</v>
      </c>
      <c r="AA66" s="335">
        <v>2032</v>
      </c>
      <c r="AB66" s="335">
        <v>2033</v>
      </c>
      <c r="AC66" s="335">
        <v>2034</v>
      </c>
      <c r="AD66" s="335">
        <v>2035</v>
      </c>
      <c r="AE66" s="335">
        <v>2036</v>
      </c>
      <c r="AF66" s="335">
        <v>2037</v>
      </c>
      <c r="AG66" s="335">
        <v>2038</v>
      </c>
      <c r="AH66" s="335">
        <v>2039</v>
      </c>
      <c r="AI66" s="335">
        <v>2040</v>
      </c>
      <c r="AJ66" s="336">
        <v>2040</v>
      </c>
      <c r="BI66" t="s">
        <v>267</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808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809</v>
      </c>
      <c r="BX68" t="s">
        <v>810</v>
      </c>
      <c r="CJ68" t="s">
        <v>811</v>
      </c>
      <c r="CU68" t="s">
        <v>812</v>
      </c>
      <c r="DF68" t="s">
        <v>813</v>
      </c>
    </row>
    <row r="70" spans="1:110" x14ac:dyDescent="0.25">
      <c r="F70" s="82">
        <f>U33</f>
        <v>104.73927357360537</v>
      </c>
    </row>
    <row r="73" spans="1:110" x14ac:dyDescent="0.25">
      <c r="E73" s="325">
        <f>E77/D77-1</f>
        <v>0.27288760622093955</v>
      </c>
      <c r="F73" s="325">
        <f>F76/E76-1</f>
        <v>0.194850346391233</v>
      </c>
      <c r="G73" s="325">
        <f>G77/F77-1</f>
        <v>-2.6586676825228861E-2</v>
      </c>
      <c r="J73" s="330">
        <f>(J76/G76)^(1/(J75-G75))-1</f>
        <v>-2.3598758847122037E-2</v>
      </c>
      <c r="O73" s="330">
        <f>(O76/J76)^(1/(O75-J75))-1</f>
        <v>2.7772006767478707E-2</v>
      </c>
      <c r="T73" s="330">
        <f>(T76/O76)^(1/(T75-O75))-1</f>
        <v>2.2006315854426139E-2</v>
      </c>
      <c r="Y73" s="330">
        <f>(Y76/T76)^(1/(Y75-T75))-1</f>
        <v>2.1763260013069941E-2</v>
      </c>
      <c r="AD73" s="330">
        <f>(AD76/Y76)^(1/(AD75-Y75))-1</f>
        <v>2.198988164876714E-2</v>
      </c>
      <c r="AI73" s="330">
        <f>(AI76/AD76)^(1/(AI75-AD75))-1</f>
        <v>2.3009639008272131E-2</v>
      </c>
    </row>
    <row r="74" spans="1:110" x14ac:dyDescent="0.25">
      <c r="C74" t="s">
        <v>814</v>
      </c>
    </row>
    <row r="75" spans="1:110" x14ac:dyDescent="0.25">
      <c r="C75" t="s">
        <v>254</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254</v>
      </c>
      <c r="BD75" t="s">
        <v>254</v>
      </c>
      <c r="BE75" t="s">
        <v>804</v>
      </c>
    </row>
    <row r="76" spans="1:110" ht="51.75" x14ac:dyDescent="0.25">
      <c r="A76">
        <v>1</v>
      </c>
      <c r="B76" t="s">
        <v>815</v>
      </c>
      <c r="C76" s="337" t="s">
        <v>816</v>
      </c>
      <c r="D76" s="338">
        <v>62.37</v>
      </c>
      <c r="E76" s="338">
        <v>79.39</v>
      </c>
      <c r="F76" s="339">
        <v>94.859168999999994</v>
      </c>
      <c r="G76" s="339">
        <f>G67/[11]Deflator!$V$17</f>
        <v>92.33717892988723</v>
      </c>
      <c r="H76" s="339">
        <f>H67/[11]Deflator!$V$17</f>
        <v>90.028939491256082</v>
      </c>
      <c r="I76" s="339">
        <f>I67/[11]Deflator!$V$17</f>
        <v>85.470846918531095</v>
      </c>
      <c r="J76" s="339">
        <f>J67/[11]Deflator!$V$17</f>
        <v>85.953105081231584</v>
      </c>
      <c r="K76" s="339">
        <f>K67/[11]Deflator!$V$17</f>
        <v>85.863028332544943</v>
      </c>
      <c r="L76" s="339">
        <f>L67/[11]Deflator!$V$17</f>
        <v>88.902546477037802</v>
      </c>
      <c r="M76" s="339">
        <f>M67/[11]Deflator!$V$17</f>
        <v>93.522189921013762</v>
      </c>
      <c r="N76" s="339">
        <f>N67/[11]Deflator!$V$17</f>
        <v>96.072765473515915</v>
      </c>
      <c r="O76" s="339">
        <f>O67/[11]Deflator!$V$17</f>
        <v>98.57016734982632</v>
      </c>
      <c r="P76" s="339">
        <f>P67/[11]Deflator!$V$17</f>
        <v>100.82064346844696</v>
      </c>
      <c r="Q76" s="339">
        <f>Q67/[11]Deflator!$V$17</f>
        <v>103.01987618949572</v>
      </c>
      <c r="R76" s="339">
        <f>R67/[11]Deflator!$V$17</f>
        <v>105.26615592328017</v>
      </c>
      <c r="S76" s="339">
        <f>S67/[11]Deflator!$V$17</f>
        <v>107.5605164347495</v>
      </c>
      <c r="T76" s="339">
        <f>T67/[11]Deflator!$V$17</f>
        <v>109.9039729939998</v>
      </c>
      <c r="U76" s="339">
        <f>U67/[11]Deflator!$V$17</f>
        <v>112.29758856837999</v>
      </c>
      <c r="V76" s="339">
        <f>V67/[11]Deflator!$V$17</f>
        <v>114.74241736451903</v>
      </c>
      <c r="W76" s="339">
        <f>W67/[11]Deflator!$V$17</f>
        <v>117.2395661533654</v>
      </c>
      <c r="X76" s="339">
        <f>X67/[11]Deflator!$V$17</f>
        <v>119.79015728048071</v>
      </c>
      <c r="Y76" s="339">
        <f>Y67/[11]Deflator!$V$17</f>
        <v>122.39531795849319</v>
      </c>
      <c r="Z76" s="339">
        <f>Z67/[11]Deflator!$V$17</f>
        <v>125.05625229968362</v>
      </c>
      <c r="AA76" s="339">
        <f>AA67/[11]Deflator!$V$17</f>
        <v>127.77411866590658</v>
      </c>
      <c r="AB76" s="339">
        <f>AB67/[11]Deflator!$V$17</f>
        <v>130.55013479722936</v>
      </c>
      <c r="AC76" s="339">
        <f>AC67/[11]Deflator!$V$17</f>
        <v>133.38557878534527</v>
      </c>
      <c r="AD76" s="339">
        <f>AD67/[11]Deflator!$V$17</f>
        <v>136.45761769555207</v>
      </c>
      <c r="AE76" s="339">
        <f>AE67/[11]Deflator!$V$17</f>
        <v>139.59939193623111</v>
      </c>
      <c r="AF76" s="339">
        <f>AF67/[11]Deflator!$V$17</f>
        <v>142.81250569253899</v>
      </c>
      <c r="AG76" s="339">
        <f>AG67/[11]Deflator!$V$17</f>
        <v>146.09853297381929</v>
      </c>
      <c r="AH76" s="339">
        <f>AH67/[11]Deflator!$V$17</f>
        <v>149.45916751925429</v>
      </c>
      <c r="AI76" s="339">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40">
        <v>2.4E-2</v>
      </c>
    </row>
    <row r="77" spans="1:110" x14ac:dyDescent="0.25">
      <c r="A77">
        <v>2</v>
      </c>
      <c r="B77" t="s">
        <v>817</v>
      </c>
      <c r="C77" t="s">
        <v>817</v>
      </c>
      <c r="D77">
        <f>+D76</f>
        <v>62.37</v>
      </c>
      <c r="E77">
        <f>+E76</f>
        <v>79.39</v>
      </c>
      <c r="F77">
        <f>+F76</f>
        <v>94.859168999999994</v>
      </c>
      <c r="G77" s="341">
        <f>G76</f>
        <v>92.33717892988723</v>
      </c>
      <c r="H77" s="342">
        <f>($O$77/$G$77)^(1/($O$75-$G$75))*G77</f>
        <v>98.513554427606991</v>
      </c>
      <c r="I77" s="342">
        <f t="shared" ref="I77:N77" si="27">($O$77/$G$77)^(1/($O$75-$G$75))*H77</f>
        <v>105.10306377596994</v>
      </c>
      <c r="J77" s="342">
        <f t="shared" si="27"/>
        <v>112.13334123694902</v>
      </c>
      <c r="K77" s="342">
        <f t="shared" si="27"/>
        <v>119.63386951082258</v>
      </c>
      <c r="L77" s="342">
        <f t="shared" si="27"/>
        <v>127.63610337704354</v>
      </c>
      <c r="M77" s="342">
        <f t="shared" si="27"/>
        <v>136.17360160536808</v>
      </c>
      <c r="N77" s="342">
        <f t="shared" si="27"/>
        <v>145.28216769043632</v>
      </c>
      <c r="O77" s="343">
        <v>155</v>
      </c>
      <c r="P77" s="342">
        <f>($Y$77/$O$77)^(1/($Y$75-$O$75))*O77</f>
        <v>159.00161221441482</v>
      </c>
      <c r="Q77" s="342">
        <f t="shared" ref="Q77:X77" si="28">($Y$77/$O$77)^(1/($Y$75-$O$75))*P77</f>
        <v>163.10653346311707</v>
      </c>
      <c r="R77" s="342">
        <f t="shared" si="28"/>
        <v>167.31743086025816</v>
      </c>
      <c r="S77" s="342">
        <f t="shared" si="28"/>
        <v>171.63704037648341</v>
      </c>
      <c r="T77" s="342">
        <f t="shared" si="28"/>
        <v>176.06816861659016</v>
      </c>
      <c r="U77" s="342">
        <f t="shared" si="28"/>
        <v>180.61369464307916</v>
      </c>
      <c r="V77" s="342">
        <f t="shared" si="28"/>
        <v>185.27657184678452</v>
      </c>
      <c r="W77" s="342">
        <f t="shared" si="28"/>
        <v>190.05982986579741</v>
      </c>
      <c r="X77" s="342">
        <f t="shared" si="28"/>
        <v>194.96657655393017</v>
      </c>
      <c r="Y77" s="343">
        <v>200</v>
      </c>
      <c r="Z77" s="342">
        <f>($AI$77/$Y$77)^(1/($AI$75-$Y$75))*Y77</f>
        <v>204.1002818892168</v>
      </c>
      <c r="AA77" s="342">
        <f t="shared" ref="AA77:AH77" si="29">($AI$77/$Y$77)^(1/($AI$75-$Y$75))*Z77</f>
        <v>208.2846253362888</v>
      </c>
      <c r="AB77" s="342">
        <f t="shared" si="29"/>
        <v>212.55475372163227</v>
      </c>
      <c r="AC77" s="342">
        <f t="shared" si="29"/>
        <v>216.91242575739099</v>
      </c>
      <c r="AD77" s="342">
        <f t="shared" si="29"/>
        <v>221.35943621178657</v>
      </c>
      <c r="AE77" s="342">
        <f t="shared" si="29"/>
        <v>225.89761664831872</v>
      </c>
      <c r="AF77" s="342">
        <f t="shared" si="29"/>
        <v>230.52883618012044</v>
      </c>
      <c r="AG77" s="342">
        <f t="shared" si="29"/>
        <v>235.25500223977832</v>
      </c>
      <c r="AH77" s="342">
        <f t="shared" si="29"/>
        <v>240.07806136493542</v>
      </c>
      <c r="AI77" s="343">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818</v>
      </c>
    </row>
    <row r="80" spans="1:110" x14ac:dyDescent="0.25">
      <c r="AF80" t="s">
        <v>254</v>
      </c>
    </row>
    <row r="82" spans="1:121" x14ac:dyDescent="0.25">
      <c r="C82" t="s">
        <v>819</v>
      </c>
    </row>
    <row r="83" spans="1:121" x14ac:dyDescent="0.25">
      <c r="C83" t="s">
        <v>254</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254</v>
      </c>
      <c r="BD83" t="s">
        <v>254</v>
      </c>
      <c r="BE83" t="s">
        <v>804</v>
      </c>
    </row>
    <row r="84" spans="1:121" ht="51.75" x14ac:dyDescent="0.25">
      <c r="A84">
        <v>1</v>
      </c>
      <c r="B84" t="s">
        <v>815</v>
      </c>
      <c r="C84" s="337" t="s">
        <v>816</v>
      </c>
      <c r="D84" s="338">
        <v>62.37</v>
      </c>
      <c r="E84" s="338">
        <v>79.39</v>
      </c>
      <c r="F84" s="338">
        <v>92.86</v>
      </c>
      <c r="G84" s="338">
        <v>94.73</v>
      </c>
      <c r="H84" s="338">
        <v>103.71</v>
      </c>
      <c r="I84" s="338">
        <v>110.9</v>
      </c>
      <c r="J84" s="338">
        <v>116.91</v>
      </c>
      <c r="K84" s="338">
        <v>119.92</v>
      </c>
      <c r="L84" s="338">
        <v>122.89</v>
      </c>
      <c r="M84" s="338">
        <v>124</v>
      </c>
      <c r="N84" s="338">
        <v>125.22</v>
      </c>
      <c r="O84" s="338">
        <v>126.68</v>
      </c>
      <c r="P84" s="338">
        <v>127.99</v>
      </c>
      <c r="Q84" s="338">
        <v>129.41999999999999</v>
      </c>
      <c r="R84" s="338">
        <v>130.47999999999999</v>
      </c>
      <c r="S84" s="338">
        <v>131.54</v>
      </c>
      <c r="T84" s="338">
        <v>132.56</v>
      </c>
      <c r="U84" s="338">
        <v>133.47999999999999</v>
      </c>
      <c r="V84" s="338">
        <v>134.34</v>
      </c>
      <c r="W84" s="338">
        <v>135.38</v>
      </c>
      <c r="X84" s="338">
        <v>137.03</v>
      </c>
      <c r="Y84" s="338">
        <v>138.49</v>
      </c>
      <c r="Z84" s="338">
        <v>139.84</v>
      </c>
      <c r="AA84" s="338">
        <v>141.13999999999999</v>
      </c>
      <c r="AB84" s="338">
        <v>142.35</v>
      </c>
      <c r="AC84" s="338">
        <v>143.79</v>
      </c>
      <c r="AD84" s="337">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40">
        <v>2.4E-2</v>
      </c>
    </row>
    <row r="85" spans="1:121" x14ac:dyDescent="0.25">
      <c r="A85">
        <v>2</v>
      </c>
      <c r="B85" t="s">
        <v>817</v>
      </c>
      <c r="C85" t="s">
        <v>817</v>
      </c>
      <c r="D85">
        <f>+D84</f>
        <v>62.37</v>
      </c>
      <c r="E85">
        <f>+E84</f>
        <v>79.39</v>
      </c>
      <c r="F85">
        <f>+F84</f>
        <v>92.86</v>
      </c>
      <c r="G85" s="337">
        <v>139.22</v>
      </c>
      <c r="H85" s="337">
        <v>173.04</v>
      </c>
      <c r="I85" s="337">
        <v>178.88</v>
      </c>
      <c r="J85" s="337">
        <v>182.1</v>
      </c>
      <c r="K85" s="337">
        <v>184.27</v>
      </c>
      <c r="L85" s="337">
        <v>185.75</v>
      </c>
      <c r="M85" s="337">
        <v>187.38</v>
      </c>
      <c r="N85" s="337">
        <v>188.86</v>
      </c>
      <c r="O85" s="337">
        <v>189.93</v>
      </c>
      <c r="P85" s="337">
        <v>191.04</v>
      </c>
      <c r="Q85" s="337">
        <v>191.91</v>
      </c>
      <c r="R85" s="337">
        <v>192.47</v>
      </c>
      <c r="S85" s="337">
        <v>192.85</v>
      </c>
      <c r="T85" s="337">
        <v>193.48</v>
      </c>
      <c r="U85" s="337">
        <v>194.18</v>
      </c>
      <c r="V85" s="337">
        <v>195.14</v>
      </c>
      <c r="W85" s="337">
        <v>195.82</v>
      </c>
      <c r="X85" s="337">
        <v>196.98</v>
      </c>
      <c r="Y85" s="337">
        <v>198.24</v>
      </c>
      <c r="Z85" s="337">
        <v>198.88</v>
      </c>
      <c r="AA85" s="337">
        <v>199.24</v>
      </c>
      <c r="AB85" s="337">
        <v>199.55</v>
      </c>
      <c r="AC85" s="337">
        <v>200.3</v>
      </c>
      <c r="AD85" s="337">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818</v>
      </c>
    </row>
    <row r="92" spans="1:121" x14ac:dyDescent="0.25">
      <c r="CJ92" t="s">
        <v>800</v>
      </c>
    </row>
    <row r="93" spans="1:121" x14ac:dyDescent="0.25">
      <c r="BN93" t="s">
        <v>775</v>
      </c>
      <c r="BQ93" t="s">
        <v>776</v>
      </c>
      <c r="BT93" t="s">
        <v>820</v>
      </c>
      <c r="BZ93">
        <v>2020</v>
      </c>
      <c r="CA93">
        <v>2030</v>
      </c>
      <c r="CB93">
        <v>2040</v>
      </c>
      <c r="CC93">
        <v>2050</v>
      </c>
      <c r="CK93">
        <v>2019</v>
      </c>
      <c r="CL93">
        <v>2020</v>
      </c>
      <c r="CM93">
        <v>2021</v>
      </c>
      <c r="CN93">
        <v>2025</v>
      </c>
      <c r="CO93">
        <v>2030</v>
      </c>
      <c r="CP93">
        <v>2035</v>
      </c>
      <c r="CQ93">
        <v>2040</v>
      </c>
      <c r="CR93">
        <v>2050</v>
      </c>
    </row>
    <row r="94" spans="1:121" x14ac:dyDescent="0.25">
      <c r="BK94" t="s">
        <v>821</v>
      </c>
      <c r="BM94">
        <v>2015</v>
      </c>
      <c r="BN94">
        <v>2020</v>
      </c>
      <c r="BO94">
        <v>2030</v>
      </c>
      <c r="BP94">
        <v>2040</v>
      </c>
      <c r="BQ94">
        <v>2020</v>
      </c>
      <c r="BR94">
        <v>2030</v>
      </c>
      <c r="BS94">
        <v>2040</v>
      </c>
      <c r="BT94">
        <v>2020</v>
      </c>
      <c r="BU94">
        <v>2030</v>
      </c>
      <c r="BV94">
        <v>2040</v>
      </c>
      <c r="BY94" t="s">
        <v>776</v>
      </c>
      <c r="BZ94">
        <v>62</v>
      </c>
      <c r="CA94">
        <v>105</v>
      </c>
      <c r="CB94">
        <v>127</v>
      </c>
      <c r="CC94">
        <v>140</v>
      </c>
      <c r="CJ94" t="s">
        <v>822</v>
      </c>
      <c r="CK94">
        <v>63</v>
      </c>
      <c r="CL94">
        <v>40</v>
      </c>
      <c r="CM94">
        <f>(62+54)/2</f>
        <v>58</v>
      </c>
      <c r="CN94">
        <v>71</v>
      </c>
      <c r="CO94">
        <v>76</v>
      </c>
      <c r="CP94">
        <v>81</v>
      </c>
      <c r="CQ94">
        <v>85</v>
      </c>
      <c r="CR94">
        <f>FORECAST(CR93,CP94:CQ94,CP93:CQ93)</f>
        <v>93</v>
      </c>
      <c r="DL94" s="429" t="s">
        <v>823</v>
      </c>
      <c r="DM94" s="429"/>
      <c r="DN94" s="429" t="s">
        <v>824</v>
      </c>
      <c r="DO94" s="429"/>
      <c r="DP94" s="429" t="s">
        <v>822</v>
      </c>
      <c r="DQ94" s="429"/>
    </row>
    <row r="95" spans="1:121" x14ac:dyDescent="0.25">
      <c r="BK95" t="s">
        <v>825</v>
      </c>
      <c r="BL95" t="s">
        <v>826</v>
      </c>
      <c r="BM95">
        <v>51</v>
      </c>
      <c r="BN95">
        <v>79</v>
      </c>
      <c r="BO95">
        <v>111</v>
      </c>
      <c r="BP95">
        <v>124</v>
      </c>
      <c r="BQ95">
        <v>82</v>
      </c>
      <c r="BR95">
        <v>127</v>
      </c>
      <c r="BS95">
        <v>146</v>
      </c>
      <c r="BT95">
        <v>73</v>
      </c>
      <c r="BU95">
        <v>85</v>
      </c>
      <c r="BV95">
        <v>78</v>
      </c>
      <c r="BY95" t="s">
        <v>822</v>
      </c>
      <c r="BZ95">
        <v>62</v>
      </c>
      <c r="CA95">
        <v>84</v>
      </c>
      <c r="CB95">
        <v>96</v>
      </c>
      <c r="CC95">
        <v>100</v>
      </c>
      <c r="CJ95" t="s">
        <v>827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828</v>
      </c>
      <c r="DG95" t="s">
        <v>829</v>
      </c>
      <c r="DH95" t="s">
        <v>830</v>
      </c>
      <c r="DI95" t="s">
        <v>831</v>
      </c>
      <c r="DJ95">
        <v>2010</v>
      </c>
      <c r="DK95">
        <v>2021</v>
      </c>
      <c r="DL95">
        <v>2030</v>
      </c>
      <c r="DM95">
        <v>2050</v>
      </c>
      <c r="DN95">
        <v>2030</v>
      </c>
      <c r="DO95">
        <v>2050</v>
      </c>
      <c r="DP95">
        <v>2030</v>
      </c>
      <c r="DQ95">
        <v>2050</v>
      </c>
    </row>
    <row r="96" spans="1:121" x14ac:dyDescent="0.25">
      <c r="BK96" t="s">
        <v>480</v>
      </c>
      <c r="BL96" t="s">
        <v>832</v>
      </c>
      <c r="BY96" t="s">
        <v>833</v>
      </c>
      <c r="BZ96">
        <v>62</v>
      </c>
      <c r="CA96">
        <v>60</v>
      </c>
      <c r="CB96">
        <v>58</v>
      </c>
      <c r="CC96">
        <v>58</v>
      </c>
      <c r="CJ96" t="s">
        <v>834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835</v>
      </c>
      <c r="DG96" t="s">
        <v>836</v>
      </c>
      <c r="DH96" t="s">
        <v>837</v>
      </c>
      <c r="DI96" t="s">
        <v>838</v>
      </c>
      <c r="DJ96">
        <v>96</v>
      </c>
      <c r="DK96">
        <v>69</v>
      </c>
      <c r="DL96">
        <v>35</v>
      </c>
      <c r="DM96">
        <v>24</v>
      </c>
      <c r="DN96">
        <v>64</v>
      </c>
      <c r="DO96">
        <v>60</v>
      </c>
      <c r="DP96">
        <v>82</v>
      </c>
      <c r="DQ96">
        <v>95</v>
      </c>
    </row>
    <row r="97" spans="63:121" x14ac:dyDescent="0.25">
      <c r="BK97" t="s">
        <v>839</v>
      </c>
      <c r="BM97">
        <v>2.6</v>
      </c>
      <c r="BN97">
        <v>4.0999999999999996</v>
      </c>
      <c r="BO97">
        <v>5.4</v>
      </c>
      <c r="BP97">
        <v>6.9</v>
      </c>
      <c r="BQ97">
        <v>4.3</v>
      </c>
      <c r="BR97">
        <v>5.9</v>
      </c>
      <c r="BS97">
        <v>7.9</v>
      </c>
      <c r="BT97">
        <v>3.9</v>
      </c>
      <c r="BU97">
        <v>4.8</v>
      </c>
      <c r="BV97">
        <v>5.4</v>
      </c>
      <c r="DF97" t="s">
        <v>840</v>
      </c>
      <c r="DG97" t="s">
        <v>841</v>
      </c>
      <c r="DH97" t="s">
        <v>842</v>
      </c>
    </row>
    <row r="98" spans="63:121" x14ac:dyDescent="0.25">
      <c r="BK98" t="s">
        <v>843</v>
      </c>
      <c r="BM98">
        <v>7</v>
      </c>
      <c r="BN98">
        <v>7.1</v>
      </c>
      <c r="BO98">
        <v>10.3</v>
      </c>
      <c r="BP98">
        <v>11.5</v>
      </c>
      <c r="BQ98">
        <v>7.3</v>
      </c>
      <c r="BR98">
        <v>11.1</v>
      </c>
      <c r="BS98">
        <v>13</v>
      </c>
      <c r="BT98">
        <v>6.9</v>
      </c>
      <c r="BU98">
        <v>9.4</v>
      </c>
      <c r="BV98">
        <v>9.9</v>
      </c>
      <c r="CJ98" t="s">
        <v>844</v>
      </c>
      <c r="CL98">
        <v>1</v>
      </c>
      <c r="DF98" t="s">
        <v>845</v>
      </c>
      <c r="DG98" t="s">
        <v>846</v>
      </c>
      <c r="DJ98">
        <v>5.3</v>
      </c>
      <c r="DK98">
        <v>3.9</v>
      </c>
      <c r="DL98">
        <v>1.9</v>
      </c>
      <c r="DM98">
        <v>1.8</v>
      </c>
      <c r="DN98">
        <v>3.7</v>
      </c>
      <c r="DO98">
        <v>2.6</v>
      </c>
      <c r="DP98">
        <v>4</v>
      </c>
      <c r="DQ98">
        <v>4.7</v>
      </c>
    </row>
    <row r="99" spans="63:121" x14ac:dyDescent="0.25">
      <c r="BK99" t="s">
        <v>847</v>
      </c>
      <c r="BM99">
        <v>9.6999999999999993</v>
      </c>
      <c r="BN99">
        <v>9.1999999999999993</v>
      </c>
      <c r="BO99">
        <v>11.6</v>
      </c>
      <c r="BP99">
        <v>12.1</v>
      </c>
      <c r="BQ99">
        <v>9.5</v>
      </c>
      <c r="BR99">
        <v>12.5</v>
      </c>
      <c r="BS99">
        <v>13.9</v>
      </c>
      <c r="BT99">
        <v>8.6</v>
      </c>
      <c r="BU99">
        <v>10.4</v>
      </c>
      <c r="BV99">
        <v>10.5</v>
      </c>
      <c r="CK99" s="21">
        <v>2021</v>
      </c>
      <c r="CL99">
        <v>2030</v>
      </c>
      <c r="CM99">
        <v>2050</v>
      </c>
      <c r="DF99" t="s">
        <v>848</v>
      </c>
      <c r="DG99" t="s">
        <v>849</v>
      </c>
      <c r="DJ99">
        <v>9</v>
      </c>
      <c r="DK99">
        <v>9.5</v>
      </c>
      <c r="DL99">
        <v>4.5999999999999996</v>
      </c>
      <c r="DM99">
        <v>3.8</v>
      </c>
      <c r="DN99">
        <v>7.9</v>
      </c>
      <c r="DO99">
        <v>6.3</v>
      </c>
      <c r="DP99">
        <v>8.5</v>
      </c>
      <c r="DQ99">
        <v>9.1999999999999993</v>
      </c>
    </row>
    <row r="100" spans="63:121" x14ac:dyDescent="0.25">
      <c r="BK100" t="s">
        <v>798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847</v>
      </c>
      <c r="DJ100">
        <v>8</v>
      </c>
      <c r="DK100">
        <v>10.1</v>
      </c>
      <c r="DL100">
        <v>6.1</v>
      </c>
      <c r="DM100">
        <v>5.0999999999999996</v>
      </c>
      <c r="DN100">
        <v>8.8000000000000007</v>
      </c>
      <c r="DO100">
        <v>7.4</v>
      </c>
      <c r="DP100">
        <v>9.8000000000000007</v>
      </c>
      <c r="DQ100">
        <v>10.199999999999999</v>
      </c>
    </row>
    <row r="101" spans="63:121" x14ac:dyDescent="0.25">
      <c r="BK101" t="s">
        <v>850</v>
      </c>
      <c r="BL101" t="s">
        <v>851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798</v>
      </c>
      <c r="DJ101">
        <v>13.3</v>
      </c>
      <c r="DK101">
        <v>10.199999999999999</v>
      </c>
      <c r="DL101">
        <v>6</v>
      </c>
      <c r="DM101">
        <v>5.0999999999999996</v>
      </c>
      <c r="DN101">
        <v>9.1</v>
      </c>
      <c r="DO101">
        <v>7.4</v>
      </c>
      <c r="DP101">
        <v>10.9</v>
      </c>
      <c r="DQ101">
        <v>10.6</v>
      </c>
    </row>
    <row r="102" spans="63:121" x14ac:dyDescent="0.25">
      <c r="BK102" t="s">
        <v>852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853</v>
      </c>
      <c r="DG102" t="s">
        <v>854</v>
      </c>
      <c r="DH102" t="s">
        <v>855</v>
      </c>
    </row>
    <row r="103" spans="63:121" x14ac:dyDescent="0.25">
      <c r="BK103" t="s">
        <v>839</v>
      </c>
      <c r="BM103">
        <v>51</v>
      </c>
      <c r="BN103">
        <v>55</v>
      </c>
      <c r="BO103">
        <v>58</v>
      </c>
      <c r="BP103">
        <v>60</v>
      </c>
      <c r="BQ103">
        <v>56</v>
      </c>
      <c r="BR103">
        <v>61</v>
      </c>
      <c r="BS103">
        <v>64</v>
      </c>
      <c r="BT103">
        <v>53</v>
      </c>
      <c r="BU103">
        <v>52</v>
      </c>
      <c r="BV103">
        <v>49</v>
      </c>
      <c r="DF103" t="s">
        <v>845</v>
      </c>
      <c r="DG103" t="s">
        <v>846</v>
      </c>
      <c r="DH103">
        <v>63</v>
      </c>
      <c r="DI103">
        <v>44</v>
      </c>
      <c r="DJ103">
        <v>22</v>
      </c>
      <c r="DK103">
        <v>17</v>
      </c>
      <c r="DL103">
        <v>42</v>
      </c>
      <c r="DM103">
        <v>24</v>
      </c>
      <c r="DN103">
        <v>46</v>
      </c>
      <c r="DO103">
        <v>44</v>
      </c>
    </row>
    <row r="104" spans="63:121" x14ac:dyDescent="0.25">
      <c r="BK104" t="s">
        <v>843</v>
      </c>
      <c r="BM104">
        <v>57</v>
      </c>
      <c r="BN104">
        <v>63</v>
      </c>
      <c r="BO104">
        <v>74</v>
      </c>
      <c r="BP104">
        <v>77</v>
      </c>
      <c r="BQ104">
        <v>65</v>
      </c>
      <c r="BR104">
        <v>80</v>
      </c>
      <c r="BS104">
        <v>88</v>
      </c>
      <c r="BT104">
        <v>58</v>
      </c>
      <c r="BU104">
        <v>57</v>
      </c>
      <c r="BV104">
        <v>51</v>
      </c>
      <c r="CJ104" t="s">
        <v>856</v>
      </c>
      <c r="CL104" t="s">
        <v>857</v>
      </c>
      <c r="CO104" t="s">
        <v>799</v>
      </c>
      <c r="CR104" t="s">
        <v>847</v>
      </c>
      <c r="DF104" t="s">
        <v>848</v>
      </c>
      <c r="DG104" t="s">
        <v>849</v>
      </c>
      <c r="DH104">
        <v>113</v>
      </c>
      <c r="DI104">
        <v>120</v>
      </c>
      <c r="DJ104">
        <v>52</v>
      </c>
      <c r="DK104">
        <v>42</v>
      </c>
      <c r="DL104">
        <v>62</v>
      </c>
      <c r="DM104">
        <v>53</v>
      </c>
      <c r="DN104">
        <v>60</v>
      </c>
      <c r="DO104">
        <v>64</v>
      </c>
    </row>
    <row r="105" spans="63:121" x14ac:dyDescent="0.25">
      <c r="BK105" t="s">
        <v>858</v>
      </c>
      <c r="BM105">
        <v>72</v>
      </c>
      <c r="BN105">
        <v>78</v>
      </c>
      <c r="BO105">
        <v>86</v>
      </c>
      <c r="BP105">
        <v>89</v>
      </c>
      <c r="BQ105">
        <v>79</v>
      </c>
      <c r="BR105">
        <v>92</v>
      </c>
      <c r="BS105">
        <v>98</v>
      </c>
      <c r="BT105">
        <v>73</v>
      </c>
      <c r="BU105">
        <v>72</v>
      </c>
      <c r="BV105">
        <v>67</v>
      </c>
      <c r="CL105">
        <v>2025</v>
      </c>
      <c r="CM105">
        <v>2040</v>
      </c>
      <c r="CN105" t="s">
        <v>859</v>
      </c>
      <c r="CO105">
        <f>CL105</f>
        <v>2025</v>
      </c>
      <c r="CP105">
        <f>CM105</f>
        <v>2040</v>
      </c>
      <c r="CQ105" t="s">
        <v>859</v>
      </c>
      <c r="CR105">
        <f>CO105</f>
        <v>2025</v>
      </c>
      <c r="CS105">
        <f>CP105</f>
        <v>2040</v>
      </c>
      <c r="CT105" t="s">
        <v>859</v>
      </c>
      <c r="DF105" t="s">
        <v>798</v>
      </c>
      <c r="DG105">
        <v>132</v>
      </c>
      <c r="DH105">
        <v>153</v>
      </c>
      <c r="DI105">
        <v>59</v>
      </c>
      <c r="DJ105">
        <v>46</v>
      </c>
      <c r="DK105">
        <v>74</v>
      </c>
      <c r="DL105">
        <v>59</v>
      </c>
      <c r="DM105">
        <v>91</v>
      </c>
      <c r="DN105">
        <v>72</v>
      </c>
    </row>
    <row r="106" spans="63:121" x14ac:dyDescent="0.25">
      <c r="BK106" t="s">
        <v>798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860</v>
      </c>
      <c r="DG106" t="s">
        <v>847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1200</v>
      </c>
      <c r="DJ108" s="302">
        <f>DJ101/DJ96</f>
        <v>0.13854166666666667</v>
      </c>
      <c r="DK108" s="302">
        <f t="shared" ref="DK108:DQ108" si="42">DK101/DK96</f>
        <v>0.14782608695652172</v>
      </c>
      <c r="DL108" s="302">
        <f t="shared" si="42"/>
        <v>0.17142857142857143</v>
      </c>
      <c r="DM108" s="302">
        <f t="shared" si="42"/>
        <v>0.21249999999999999</v>
      </c>
      <c r="DN108" s="302">
        <f t="shared" si="42"/>
        <v>0.14218749999999999</v>
      </c>
      <c r="DO108" s="302">
        <f t="shared" si="42"/>
        <v>0.12333333333333334</v>
      </c>
      <c r="DP108" s="302">
        <f t="shared" si="42"/>
        <v>0.13292682926829269</v>
      </c>
      <c r="DQ108" s="302">
        <f t="shared" si="42"/>
        <v>0.11157894736842106</v>
      </c>
    </row>
    <row r="110" spans="63:121" x14ac:dyDescent="0.25">
      <c r="CJ110" t="s">
        <v>861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862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863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864</v>
      </c>
    </row>
    <row r="129" spans="88:95" x14ac:dyDescent="0.25">
      <c r="CK129" t="s">
        <v>865</v>
      </c>
      <c r="CL129" t="s">
        <v>866</v>
      </c>
      <c r="CM129" t="s">
        <v>867</v>
      </c>
      <c r="CN129" t="s">
        <v>868</v>
      </c>
      <c r="CO129" t="s">
        <v>869</v>
      </c>
      <c r="CP129" t="s">
        <v>870</v>
      </c>
      <c r="CQ129" t="s">
        <v>871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8">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8">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8">
        <f>CN132/CK132</f>
        <v>0.30256410256410238</v>
      </c>
      <c r="CP132" s="82">
        <f t="shared" si="50"/>
        <v>-3.9473684210526327E-2</v>
      </c>
      <c r="CQ132" s="82">
        <f t="shared" si="51"/>
        <v>-0.1791497975708502</v>
      </c>
    </row>
    <row r="134" spans="88:95" x14ac:dyDescent="0.25">
      <c r="CJ134" t="s">
        <v>872</v>
      </c>
    </row>
    <row r="135" spans="88:95" x14ac:dyDescent="0.25">
      <c r="CK135" t="s">
        <v>865</v>
      </c>
      <c r="CL135" t="s">
        <v>866</v>
      </c>
      <c r="CM135" t="s">
        <v>867</v>
      </c>
      <c r="CN135" t="s">
        <v>868</v>
      </c>
      <c r="CO135" t="s">
        <v>869</v>
      </c>
      <c r="CP135" t="s">
        <v>870</v>
      </c>
      <c r="CQ135" t="s">
        <v>871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8">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8">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8">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1154</v>
      </c>
      <c r="C1" s="169"/>
      <c r="D1" s="169"/>
      <c r="E1" s="169"/>
    </row>
    <row r="2" spans="2:39" ht="15.75" thickTop="1" x14ac:dyDescent="0.25"/>
    <row r="4" spans="2:39" x14ac:dyDescent="0.25">
      <c r="B4" t="s">
        <v>878</v>
      </c>
      <c r="E4">
        <v>2013</v>
      </c>
      <c r="F4">
        <v>2013</v>
      </c>
      <c r="G4" t="s">
        <v>879</v>
      </c>
    </row>
    <row r="5" spans="2:39" ht="30" x14ac:dyDescent="0.25">
      <c r="B5" t="s">
        <v>880</v>
      </c>
      <c r="C5" t="s">
        <v>881</v>
      </c>
      <c r="D5" t="s">
        <v>882</v>
      </c>
      <c r="E5" s="178" t="s">
        <v>883</v>
      </c>
      <c r="F5" s="178" t="s">
        <v>884</v>
      </c>
      <c r="G5" s="178" t="s">
        <v>884</v>
      </c>
      <c r="R5" s="345" t="s">
        <v>885</v>
      </c>
      <c r="S5" s="346">
        <v>1991</v>
      </c>
      <c r="T5" s="346">
        <v>1992</v>
      </c>
      <c r="U5" s="346">
        <v>1993</v>
      </c>
      <c r="V5" s="346">
        <v>1994</v>
      </c>
      <c r="W5" s="346">
        <v>1995</v>
      </c>
      <c r="X5" s="346">
        <v>1996</v>
      </c>
      <c r="Y5" s="346">
        <v>1997</v>
      </c>
      <c r="Z5" s="346">
        <v>1998</v>
      </c>
      <c r="AA5" s="346">
        <v>1999</v>
      </c>
      <c r="AB5" s="346">
        <v>2000</v>
      </c>
      <c r="AC5" s="346">
        <v>2001</v>
      </c>
      <c r="AD5" s="346">
        <v>2002</v>
      </c>
      <c r="AE5" s="346">
        <v>2003</v>
      </c>
      <c r="AF5" s="346">
        <v>2004</v>
      </c>
      <c r="AG5" s="346">
        <v>2005</v>
      </c>
      <c r="AH5" s="346">
        <v>2006</v>
      </c>
      <c r="AI5" s="346">
        <v>2007</v>
      </c>
      <c r="AJ5" s="346">
        <v>2008</v>
      </c>
      <c r="AK5" s="346">
        <v>2009</v>
      </c>
      <c r="AL5" s="346">
        <v>2010</v>
      </c>
      <c r="AM5" s="347"/>
    </row>
    <row r="6" spans="2:39" ht="24" x14ac:dyDescent="0.25">
      <c r="B6" t="s">
        <v>886</v>
      </c>
      <c r="C6" t="s">
        <v>887</v>
      </c>
      <c r="D6">
        <v>590</v>
      </c>
      <c r="E6">
        <v>826</v>
      </c>
      <c r="F6">
        <f>E6*[11]Deflator!$F$33</f>
        <v>9841.7899999999991</v>
      </c>
      <c r="G6" s="348">
        <f>D6*(AVERAGE(D$25:$D$31)*FuelDistribution!$AB$6*FuelDistribution!$AE$40/FuelDistribution!$S$40)/1000</f>
        <v>266.11872910346432</v>
      </c>
      <c r="R6" s="349" t="s">
        <v>232</v>
      </c>
      <c r="S6" s="350">
        <v>15.727008694067001</v>
      </c>
      <c r="T6" s="350">
        <v>14.5711517216375</v>
      </c>
      <c r="U6" s="350">
        <v>13.0875688743451</v>
      </c>
      <c r="V6" s="350">
        <v>9.5940101543789797</v>
      </c>
      <c r="W6" s="350">
        <v>10.250325952765699</v>
      </c>
      <c r="X6" s="350">
        <v>8.0896615070995495</v>
      </c>
      <c r="Y6" s="350">
        <v>8.1064754482185197</v>
      </c>
      <c r="Z6" s="350">
        <v>7.7104128133594703</v>
      </c>
      <c r="AA6" s="350">
        <v>7.0732294482553897</v>
      </c>
      <c r="AB6" s="350">
        <v>8.8095447928848092</v>
      </c>
      <c r="AC6" s="350">
        <v>7.6669259373051499</v>
      </c>
      <c r="AD6" s="350">
        <v>10.749452406287</v>
      </c>
      <c r="AE6" s="350">
        <v>5.5502297825584197</v>
      </c>
      <c r="AF6" s="350">
        <v>6.3718942256896698</v>
      </c>
      <c r="AG6" s="350">
        <v>5.4446739251013696</v>
      </c>
      <c r="AH6" s="350">
        <v>6.5276131156196397</v>
      </c>
      <c r="AI6" s="350">
        <v>8.1914947793359403</v>
      </c>
      <c r="AJ6" s="350">
        <v>9.2056545564224894</v>
      </c>
      <c r="AK6" s="350">
        <v>7.3317962461641599</v>
      </c>
      <c r="AL6" s="351">
        <f>(145.2/134.3-1)*100</f>
        <v>8.116157855547268</v>
      </c>
      <c r="AM6" s="28"/>
    </row>
    <row r="7" spans="2:39" ht="36" customHeight="1" x14ac:dyDescent="0.25">
      <c r="B7" t="s">
        <v>886</v>
      </c>
      <c r="C7" t="s">
        <v>888</v>
      </c>
      <c r="D7">
        <v>240</v>
      </c>
      <c r="E7">
        <v>336</v>
      </c>
      <c r="F7">
        <f>E7*AVERAGE([12]Deflator!$LD$77:$LD$332)</f>
        <v>3242.0356415999986</v>
      </c>
      <c r="G7" s="348">
        <f>D7*(AVERAGE(D$25:$D$31)*FuelDistribution!$AB$6*FuelDistribution!$AE$40/FuelDistribution!$S$40)/1000</f>
        <v>108.25168641496855</v>
      </c>
      <c r="R7" s="352">
        <f>S16</f>
        <v>2006</v>
      </c>
      <c r="S7" s="353">
        <f t="shared" ref="S7:AL7" si="0">IF(S5=$R$7,1,IF(S5&lt;$R7,T7/(1+T6/100),R7*(S6/100+1)))</f>
        <v>0.28967090786437666</v>
      </c>
      <c r="T7" s="353">
        <f t="shared" si="0"/>
        <v>0.33187929534273974</v>
      </c>
      <c r="U7" s="353">
        <f t="shared" si="0"/>
        <v>0.37531422670041198</v>
      </c>
      <c r="V7" s="353">
        <f t="shared" si="0"/>
        <v>0.4113219117208784</v>
      </c>
      <c r="W7" s="353">
        <f t="shared" si="0"/>
        <v>0.45348374838741562</v>
      </c>
      <c r="X7" s="353">
        <f t="shared" si="0"/>
        <v>0.49016904862166455</v>
      </c>
      <c r="Y7" s="353">
        <f t="shared" si="0"/>
        <v>0.52990448220294606</v>
      </c>
      <c r="Z7" s="353">
        <f t="shared" si="0"/>
        <v>0.57076230529728811</v>
      </c>
      <c r="AA7" s="353">
        <f t="shared" si="0"/>
        <v>0.61113363275511723</v>
      </c>
      <c r="AB7" s="353">
        <f t="shared" si="0"/>
        <v>0.66497172387706338</v>
      </c>
      <c r="AC7" s="353">
        <f t="shared" si="0"/>
        <v>0.71595461345073919</v>
      </c>
      <c r="AD7" s="353">
        <f t="shared" si="0"/>
        <v>0.79291581387424248</v>
      </c>
      <c r="AE7" s="353">
        <f t="shared" si="0"/>
        <v>0.83692446352650607</v>
      </c>
      <c r="AF7" s="353">
        <f t="shared" si="0"/>
        <v>0.89025240509133574</v>
      </c>
      <c r="AG7" s="353">
        <f t="shared" si="0"/>
        <v>0.93872374565893157</v>
      </c>
      <c r="AH7" s="353">
        <f t="shared" si="0"/>
        <v>1</v>
      </c>
      <c r="AI7" s="353">
        <f t="shared" si="0"/>
        <v>1.0819149477933594</v>
      </c>
      <c r="AJ7" s="353">
        <f t="shared" si="0"/>
        <v>1.1815123004815147</v>
      </c>
      <c r="AK7" s="353">
        <f t="shared" si="0"/>
        <v>1.2681383749761861</v>
      </c>
      <c r="AL7" s="353">
        <f t="shared" si="0"/>
        <v>1.3710624873160253</v>
      </c>
      <c r="AM7" s="28"/>
    </row>
    <row r="8" spans="2:39" x14ac:dyDescent="0.25">
      <c r="B8" t="s">
        <v>886</v>
      </c>
      <c r="C8" t="s">
        <v>889</v>
      </c>
      <c r="D8">
        <v>210</v>
      </c>
      <c r="E8">
        <v>294</v>
      </c>
      <c r="F8">
        <f>E8*AVERAGE([12]Deflator!$LD$77:$LD$332)</f>
        <v>2836.7811863999987</v>
      </c>
      <c r="G8" s="348">
        <f>D8*(AVERAGE(D$25:$D$31)*FuelDistribution!$AB$6*FuelDistribution!$AE$40/FuelDistribution!$S$40)/1000</f>
        <v>94.720225613097469</v>
      </c>
      <c r="R8" s="352" t="s">
        <v>694</v>
      </c>
      <c r="S8" s="353">
        <f t="shared" ref="S8:AL8" si="1">1/S7</f>
        <v>3.452193412768251</v>
      </c>
      <c r="T8" s="353">
        <f t="shared" si="1"/>
        <v>3.0131436761286237</v>
      </c>
      <c r="U8" s="353">
        <f t="shared" si="1"/>
        <v>2.6644340364913277</v>
      </c>
      <c r="V8" s="353">
        <f t="shared" si="1"/>
        <v>2.4311858218693598</v>
      </c>
      <c r="W8" s="353">
        <f t="shared" si="1"/>
        <v>2.2051506885439478</v>
      </c>
      <c r="X8" s="353">
        <f t="shared" si="1"/>
        <v>2.0401124934590613</v>
      </c>
      <c r="Y8" s="353">
        <f t="shared" si="1"/>
        <v>1.887132556121716</v>
      </c>
      <c r="Z8" s="353">
        <f t="shared" si="1"/>
        <v>1.7520428218873678</v>
      </c>
      <c r="AA8" s="353">
        <f t="shared" si="1"/>
        <v>1.6363033326963081</v>
      </c>
      <c r="AB8" s="353">
        <f t="shared" si="1"/>
        <v>1.5038233417950189</v>
      </c>
      <c r="AC8" s="353">
        <f t="shared" si="1"/>
        <v>1.3967365824772415</v>
      </c>
      <c r="AD8" s="353">
        <f t="shared" si="1"/>
        <v>1.2611679354885479</v>
      </c>
      <c r="AE8" s="353">
        <f t="shared" si="1"/>
        <v>1.1948509615627088</v>
      </c>
      <c r="AF8" s="353">
        <f t="shared" si="1"/>
        <v>1.1232769428995866</v>
      </c>
      <c r="AG8" s="353">
        <f t="shared" si="1"/>
        <v>1.0652761311561965</v>
      </c>
      <c r="AH8" s="353">
        <f t="shared" si="1"/>
        <v>1</v>
      </c>
      <c r="AI8" s="353">
        <f t="shared" si="1"/>
        <v>0.92428707269417931</v>
      </c>
      <c r="AJ8" s="353">
        <f t="shared" si="1"/>
        <v>0.84637290664892695</v>
      </c>
      <c r="AK8" s="353">
        <f t="shared" si="1"/>
        <v>0.78855747900443329</v>
      </c>
      <c r="AL8" s="353">
        <f t="shared" si="1"/>
        <v>0.72936135971277827</v>
      </c>
      <c r="AM8" s="28"/>
    </row>
    <row r="9" spans="2:39" x14ac:dyDescent="0.25">
      <c r="B9" t="s">
        <v>886</v>
      </c>
      <c r="C9" t="s">
        <v>890</v>
      </c>
      <c r="D9">
        <v>690</v>
      </c>
      <c r="E9">
        <v>966</v>
      </c>
      <c r="F9">
        <f>E9*AVERAGE([12]Deflator!$LD$77:$LD$332)</f>
        <v>9320.8524695999949</v>
      </c>
      <c r="G9" s="348">
        <f>D9*(AVERAGE(D$25:$D$31)*FuelDistribution!$AB$6*FuelDistribution!$AE$40/FuelDistribution!$S$40)/1000</f>
        <v>311.22359844303452</v>
      </c>
      <c r="R9" s="28" t="s">
        <v>891</v>
      </c>
      <c r="S9" s="28"/>
      <c r="T9" s="28"/>
      <c r="U9" s="28"/>
      <c r="V9" s="28"/>
      <c r="W9" s="28"/>
      <c r="X9" s="28"/>
      <c r="Y9" s="28"/>
      <c r="Z9" s="28"/>
      <c r="AA9" s="28"/>
      <c r="AB9" s="28"/>
      <c r="AC9" s="28"/>
      <c r="AD9" s="28"/>
      <c r="AE9" s="28"/>
      <c r="AF9" s="28"/>
      <c r="AG9" s="28"/>
      <c r="AH9" s="28"/>
      <c r="AI9" s="28"/>
      <c r="AJ9" s="28"/>
      <c r="AK9" s="28"/>
      <c r="AL9" s="28"/>
      <c r="AM9" s="28"/>
    </row>
    <row r="10" spans="2:39" x14ac:dyDescent="0.25">
      <c r="B10" t="s">
        <v>886</v>
      </c>
      <c r="C10" t="s">
        <v>892</v>
      </c>
      <c r="D10">
        <v>750</v>
      </c>
      <c r="E10">
        <v>1050</v>
      </c>
      <c r="F10">
        <f>E10*AVERAGE([12]Deflator!$LD$77:$LD$332)</f>
        <v>10131.361379999995</v>
      </c>
      <c r="G10" s="348">
        <f>D10*(AVERAGE(D$25:$D$31)*FuelDistribution!$AB$6*FuelDistribution!$AE$40/FuelDistribution!$S$40)/1000</f>
        <v>338.28652004677667</v>
      </c>
      <c r="R10" s="354" t="s">
        <v>893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557</v>
      </c>
      <c r="D11">
        <f>SUM(D6:D10)</f>
        <v>2480</v>
      </c>
      <c r="F11" s="355">
        <f>SUM(F6:F10)</f>
        <v>35372.820677599986</v>
      </c>
      <c r="G11" s="355">
        <f>SUM(G6:G10)</f>
        <v>1118.6007596213417</v>
      </c>
      <c r="R11" s="28" t="s">
        <v>894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895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896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7"/>
      <c r="S14" s="356">
        <v>2000</v>
      </c>
      <c r="T14" s="347" t="s">
        <v>897</v>
      </c>
      <c r="U14" s="347"/>
      <c r="V14" s="347"/>
      <c r="W14" s="347"/>
      <c r="X14" s="347"/>
      <c r="Y14" s="347"/>
      <c r="Z14" s="347"/>
      <c r="AA14" s="347"/>
      <c r="AB14" s="347"/>
      <c r="AC14" s="347"/>
      <c r="AD14" s="347"/>
      <c r="AE14" s="347"/>
      <c r="AF14" s="347"/>
      <c r="AG14" s="347"/>
      <c r="AH14" s="347"/>
      <c r="AI14" s="347"/>
      <c r="AJ14" s="347"/>
      <c r="AK14" s="347"/>
      <c r="AL14" s="347"/>
      <c r="AM14" s="347"/>
    </row>
    <row r="15" spans="2:39" x14ac:dyDescent="0.25">
      <c r="B15" t="s">
        <v>898</v>
      </c>
      <c r="R15" s="28" t="s">
        <v>899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900</v>
      </c>
      <c r="R16" s="347"/>
      <c r="S16" s="356">
        <v>2006</v>
      </c>
      <c r="T16" s="347" t="s">
        <v>897</v>
      </c>
      <c r="U16" s="347"/>
      <c r="V16" s="347"/>
      <c r="W16" s="347"/>
      <c r="X16" s="347"/>
      <c r="Y16" s="347"/>
      <c r="Z16" s="347"/>
      <c r="AA16" s="347"/>
      <c r="AB16" s="347"/>
      <c r="AC16" s="347"/>
      <c r="AD16" s="347"/>
      <c r="AE16" s="347"/>
      <c r="AF16" s="347"/>
      <c r="AG16" s="347"/>
      <c r="AH16" s="347"/>
      <c r="AI16" s="347"/>
      <c r="AJ16" s="347"/>
      <c r="AK16" s="347"/>
      <c r="AL16" s="347"/>
      <c r="AM16" s="347"/>
    </row>
    <row r="17" spans="1:40" x14ac:dyDescent="0.25">
      <c r="B17" t="s">
        <v>901</v>
      </c>
      <c r="R17" s="28" t="s">
        <v>902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903</v>
      </c>
      <c r="R18" s="28" t="s">
        <v>904</v>
      </c>
      <c r="S18" s="357">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905</v>
      </c>
      <c r="S19" s="358">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906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907</v>
      </c>
      <c r="E22" s="8"/>
      <c r="F22" s="8"/>
      <c r="G22" s="8"/>
      <c r="H22" s="8"/>
      <c r="R22" s="345" t="s">
        <v>885</v>
      </c>
      <c r="S22" s="346">
        <v>1991</v>
      </c>
      <c r="T22" s="346">
        <v>1992</v>
      </c>
      <c r="U22" s="346">
        <v>1993</v>
      </c>
      <c r="V22" s="346">
        <v>1994</v>
      </c>
      <c r="W22" s="346">
        <v>1995</v>
      </c>
      <c r="X22" s="346">
        <v>1996</v>
      </c>
      <c r="Y22" s="346">
        <v>1997</v>
      </c>
      <c r="Z22" s="346">
        <v>1998</v>
      </c>
      <c r="AA22" s="346">
        <v>1999</v>
      </c>
      <c r="AB22" s="346">
        <v>2000</v>
      </c>
      <c r="AC22" s="346">
        <v>2001</v>
      </c>
      <c r="AD22" s="346">
        <v>2002</v>
      </c>
      <c r="AE22" s="346">
        <v>2003</v>
      </c>
      <c r="AF22" s="346">
        <v>2004</v>
      </c>
      <c r="AG22" s="346">
        <v>2005</v>
      </c>
      <c r="AH22" s="346">
        <v>2006</v>
      </c>
      <c r="AI22" s="346">
        <v>2007</v>
      </c>
      <c r="AJ22" s="346">
        <v>2008</v>
      </c>
      <c r="AK22" s="346">
        <v>2009</v>
      </c>
      <c r="AL22" s="346">
        <v>2010</v>
      </c>
      <c r="AM22" s="347"/>
    </row>
    <row r="23" spans="1:40" ht="24" x14ac:dyDescent="0.25">
      <c r="C23" s="260" t="s">
        <v>908</v>
      </c>
      <c r="D23" s="1" t="s">
        <v>909</v>
      </c>
      <c r="E23" s="1" t="s">
        <v>910</v>
      </c>
      <c r="F23" s="1" t="s">
        <v>911</v>
      </c>
      <c r="G23" s="1" t="s">
        <v>912</v>
      </c>
      <c r="H23" s="8" t="s">
        <v>913</v>
      </c>
      <c r="I23" s="142" t="s">
        <v>914</v>
      </c>
      <c r="J23" s="142">
        <v>38.520000000000003</v>
      </c>
      <c r="R23" s="349" t="s">
        <v>839</v>
      </c>
      <c r="S23" s="359">
        <v>3.3994252378249699</v>
      </c>
      <c r="T23" s="359">
        <v>2.1054788150436798</v>
      </c>
      <c r="U23" s="359">
        <v>2.1924332890308</v>
      </c>
      <c r="V23" s="359">
        <v>2.0360309460728101</v>
      </c>
      <c r="W23" s="359">
        <v>2.3263787079223999</v>
      </c>
      <c r="X23" s="359">
        <v>1.7717629484628601</v>
      </c>
      <c r="Y23" s="359">
        <v>1.9273567571815799</v>
      </c>
      <c r="Z23" s="359">
        <v>1.4055393887866201</v>
      </c>
      <c r="AA23" s="359">
        <v>1.46557115641922</v>
      </c>
      <c r="AB23" s="359">
        <v>2.1635805504784602</v>
      </c>
      <c r="AC23" s="359">
        <v>2.2671398465768702</v>
      </c>
      <c r="AD23" s="359">
        <v>1.6245670393856999</v>
      </c>
      <c r="AE23" s="359">
        <v>2.1553754412521502</v>
      </c>
      <c r="AF23" s="359">
        <v>2.8345692622040302</v>
      </c>
      <c r="AG23" s="359">
        <v>3.33465966170388</v>
      </c>
      <c r="AH23" s="359">
        <v>3.2525297973129899</v>
      </c>
      <c r="AI23" s="359">
        <v>2.9410667446596199</v>
      </c>
      <c r="AJ23" s="359">
        <v>2.1781516163835</v>
      </c>
      <c r="AK23" s="359">
        <v>0.92363494772816102</v>
      </c>
      <c r="AL23" s="359">
        <v>0.95304869092815603</v>
      </c>
      <c r="AM23" s="28"/>
    </row>
    <row r="24" spans="1:40" x14ac:dyDescent="0.25">
      <c r="C24" s="1" t="s">
        <v>915</v>
      </c>
      <c r="D24" s="1" t="s">
        <v>916</v>
      </c>
      <c r="E24" s="1" t="s">
        <v>917</v>
      </c>
      <c r="F24" s="1" t="s">
        <v>918</v>
      </c>
      <c r="G24" s="1">
        <v>1</v>
      </c>
      <c r="H24" s="142" t="s">
        <v>919</v>
      </c>
      <c r="I24" s="142"/>
      <c r="R24" s="352">
        <v>2005</v>
      </c>
      <c r="S24" s="360">
        <f t="shared" ref="S24:AL24" si="2">IF(S22=$R$24,1,IF(S22&lt;$R24,T24/(1+T23/100),R24*(S23/100+1)))</f>
        <v>0.74613139409322993</v>
      </c>
      <c r="T24" s="360">
        <f t="shared" si="2"/>
        <v>0.76184103252825297</v>
      </c>
      <c r="U24" s="360">
        <f t="shared" si="2"/>
        <v>0.77854388893489834</v>
      </c>
      <c r="V24" s="360">
        <f t="shared" si="2"/>
        <v>0.79439528344237154</v>
      </c>
      <c r="W24" s="360">
        <f t="shared" si="2"/>
        <v>0.81287592617311466</v>
      </c>
      <c r="X24" s="360">
        <f t="shared" si="2"/>
        <v>0.82727816065002424</v>
      </c>
      <c r="Y24" s="360">
        <f t="shared" si="2"/>
        <v>0.84322276218000003</v>
      </c>
      <c r="Z24" s="360">
        <f t="shared" si="2"/>
        <v>0.85507459023765453</v>
      </c>
      <c r="AA24" s="360">
        <f t="shared" si="2"/>
        <v>0.86760631679804734</v>
      </c>
      <c r="AB24" s="360">
        <f t="shared" si="2"/>
        <v>0.88637767832301229</v>
      </c>
      <c r="AC24" s="360">
        <f t="shared" si="2"/>
        <v>0.90647309985943625</v>
      </c>
      <c r="AD24" s="360">
        <f t="shared" si="2"/>
        <v>0.92119936306065042</v>
      </c>
      <c r="AE24" s="360">
        <f t="shared" si="2"/>
        <v>0.94105466789703096</v>
      </c>
      <c r="AF24" s="360">
        <f t="shared" si="2"/>
        <v>0.9677295142537764</v>
      </c>
      <c r="AG24" s="360">
        <f t="shared" si="2"/>
        <v>1</v>
      </c>
      <c r="AH24" s="360">
        <f t="shared" si="2"/>
        <v>1.0325252979731299</v>
      </c>
      <c r="AI24" s="360">
        <f t="shared" si="2"/>
        <v>1.0628925561420153</v>
      </c>
      <c r="AJ24" s="360">
        <f t="shared" si="2"/>
        <v>1.0860439675340425</v>
      </c>
      <c r="AK24" s="360">
        <f t="shared" si="2"/>
        <v>1.0960750491658804</v>
      </c>
      <c r="AL24" s="360">
        <f t="shared" si="2"/>
        <v>1.106521178073546</v>
      </c>
      <c r="AM24" s="28"/>
    </row>
    <row r="25" spans="1:40" x14ac:dyDescent="0.25">
      <c r="C25" s="1">
        <f t="shared" ref="C25:C31" si="3">D25*_xlfn.SINGLE(inchtocentimetre)</f>
        <v>50.8</v>
      </c>
      <c r="D25" s="361">
        <v>20</v>
      </c>
      <c r="E25" s="361">
        <v>2</v>
      </c>
      <c r="F25" s="362">
        <f t="shared" ref="F25:F31" si="4">E25*$J$23</f>
        <v>77.040000000000006</v>
      </c>
      <c r="G25" s="362">
        <v>1</v>
      </c>
      <c r="H25" s="363">
        <f t="shared" ref="H25:H31" si="5">$F$11/(F25*G25)</f>
        <v>459.14876268951173</v>
      </c>
      <c r="R25" s="352" t="s">
        <v>694</v>
      </c>
      <c r="S25" s="360">
        <f t="shared" ref="S25:AL25" si="6">1/S24</f>
        <v>1.3402465141080082</v>
      </c>
      <c r="T25" s="360">
        <f t="shared" si="6"/>
        <v>1.3126097929923652</v>
      </c>
      <c r="U25" s="360">
        <f t="shared" si="6"/>
        <v>1.2844491032715817</v>
      </c>
      <c r="V25" s="360">
        <f t="shared" si="6"/>
        <v>1.2588191557063089</v>
      </c>
      <c r="W25" s="360">
        <f t="shared" si="6"/>
        <v>1.2302000438219822</v>
      </c>
      <c r="X25" s="360">
        <f t="shared" si="6"/>
        <v>1.2087832697218328</v>
      </c>
      <c r="Y25" s="360">
        <f t="shared" si="6"/>
        <v>1.1859262401962214</v>
      </c>
      <c r="Z25" s="360">
        <f t="shared" si="6"/>
        <v>1.1694886170363987</v>
      </c>
      <c r="AA25" s="360">
        <f t="shared" si="6"/>
        <v>1.1525964952520855</v>
      </c>
      <c r="AB25" s="360">
        <f t="shared" si="6"/>
        <v>1.1281872552250596</v>
      </c>
      <c r="AC25" s="360">
        <f t="shared" si="6"/>
        <v>1.1031766967547814</v>
      </c>
      <c r="AD25" s="360">
        <f t="shared" si="6"/>
        <v>1.0855413497872355</v>
      </c>
      <c r="AE25" s="360">
        <f t="shared" si="6"/>
        <v>1.0626375216167769</v>
      </c>
      <c r="AF25" s="360">
        <f t="shared" si="6"/>
        <v>1.0333465966170388</v>
      </c>
      <c r="AG25" s="360">
        <f t="shared" si="6"/>
        <v>1</v>
      </c>
      <c r="AH25" s="360">
        <f t="shared" si="6"/>
        <v>0.96849927257280988</v>
      </c>
      <c r="AI25" s="360">
        <f t="shared" si="6"/>
        <v>0.94082886762299234</v>
      </c>
      <c r="AJ25" s="360">
        <f t="shared" si="6"/>
        <v>0.92077303488051887</v>
      </c>
      <c r="AK25" s="360">
        <f t="shared" si="6"/>
        <v>0.91234628574111409</v>
      </c>
      <c r="AL25" s="360">
        <f t="shared" si="6"/>
        <v>0.90373326766415851</v>
      </c>
      <c r="AM25" s="28"/>
    </row>
    <row r="26" spans="1:40" x14ac:dyDescent="0.25">
      <c r="C26" s="1">
        <f t="shared" si="3"/>
        <v>60.96</v>
      </c>
      <c r="D26" s="361">
        <v>24</v>
      </c>
      <c r="E26" s="361">
        <v>3.2</v>
      </c>
      <c r="F26" s="362">
        <f t="shared" si="4"/>
        <v>123.26400000000001</v>
      </c>
      <c r="G26" s="362">
        <v>1</v>
      </c>
      <c r="H26" s="363">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61">
        <v>28</v>
      </c>
      <c r="E27" s="361">
        <v>4.7</v>
      </c>
      <c r="F27" s="362">
        <f t="shared" si="4"/>
        <v>181.04400000000001</v>
      </c>
      <c r="G27" s="362">
        <v>1</v>
      </c>
      <c r="H27" s="363">
        <f t="shared" si="5"/>
        <v>195.38245220830285</v>
      </c>
      <c r="R27" s="364" t="s">
        <v>920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61">
        <v>32</v>
      </c>
      <c r="E28" s="361">
        <v>6.6</v>
      </c>
      <c r="F28" s="362">
        <f t="shared" si="4"/>
        <v>254.232</v>
      </c>
      <c r="G28" s="362">
        <v>1</v>
      </c>
      <c r="H28" s="363">
        <f t="shared" si="5"/>
        <v>139.13598869379143</v>
      </c>
      <c r="R28" s="345" t="s">
        <v>885</v>
      </c>
      <c r="S28" s="346">
        <v>1991</v>
      </c>
      <c r="T28" s="346">
        <v>1992</v>
      </c>
      <c r="U28" s="346">
        <v>1993</v>
      </c>
      <c r="V28" s="346">
        <v>1994</v>
      </c>
      <c r="W28" s="346">
        <v>1995</v>
      </c>
      <c r="X28" s="346">
        <v>1996</v>
      </c>
      <c r="Y28" s="346">
        <v>1997</v>
      </c>
      <c r="Z28" s="346">
        <v>1998</v>
      </c>
      <c r="AA28" s="346">
        <v>1999</v>
      </c>
      <c r="AB28" s="346">
        <v>2000</v>
      </c>
      <c r="AC28" s="346">
        <v>2001</v>
      </c>
      <c r="AD28" s="346">
        <v>2002</v>
      </c>
      <c r="AE28" s="346">
        <v>2003</v>
      </c>
      <c r="AF28" s="346">
        <v>2004</v>
      </c>
      <c r="AG28" s="346">
        <v>2005</v>
      </c>
      <c r="AH28" s="346">
        <v>2006</v>
      </c>
      <c r="AI28" s="346">
        <v>2007</v>
      </c>
      <c r="AJ28" s="346">
        <v>2008</v>
      </c>
      <c r="AK28" s="346">
        <v>2009</v>
      </c>
      <c r="AL28" s="346">
        <v>2010</v>
      </c>
      <c r="AM28" s="346">
        <v>2011</v>
      </c>
      <c r="AN28" s="346">
        <v>2012</v>
      </c>
    </row>
    <row r="29" spans="1:40" ht="24" x14ac:dyDescent="0.25">
      <c r="C29" s="1">
        <f t="shared" si="3"/>
        <v>91.44</v>
      </c>
      <c r="D29" s="361">
        <v>36</v>
      </c>
      <c r="E29" s="361">
        <v>9</v>
      </c>
      <c r="F29" s="362">
        <f t="shared" si="4"/>
        <v>346.68</v>
      </c>
      <c r="G29" s="362">
        <v>1</v>
      </c>
      <c r="H29" s="363">
        <f t="shared" si="5"/>
        <v>102.03305837544706</v>
      </c>
      <c r="R29" s="349" t="s">
        <v>232</v>
      </c>
      <c r="S29" s="359">
        <v>2.7613150000000002</v>
      </c>
      <c r="T29" s="359">
        <v>2.8520141666666698</v>
      </c>
      <c r="U29" s="359">
        <v>3.2677415833333301</v>
      </c>
      <c r="V29" s="359">
        <v>3.5507983333333302</v>
      </c>
      <c r="W29" s="359">
        <v>3.6270850000000001</v>
      </c>
      <c r="X29" s="359">
        <v>4.2993491666666701</v>
      </c>
      <c r="Y29" s="359">
        <v>4.6079616666666698</v>
      </c>
      <c r="Z29" s="359">
        <v>5.52828416666667</v>
      </c>
      <c r="AA29" s="359">
        <v>6.1094841666666699</v>
      </c>
      <c r="AB29" s="359">
        <v>6.9398283333333302</v>
      </c>
      <c r="AC29" s="359">
        <v>8.6091808333333297</v>
      </c>
      <c r="AD29" s="359">
        <v>10.540746666666699</v>
      </c>
      <c r="AE29" s="359">
        <v>7.5647491666666697</v>
      </c>
      <c r="AF29" s="359">
        <v>6.4596925000000001</v>
      </c>
      <c r="AG29" s="359">
        <v>6.3593283333333304</v>
      </c>
      <c r="AH29" s="359">
        <v>6.7715491666666701</v>
      </c>
      <c r="AI29" s="359">
        <v>7.0453650000000003</v>
      </c>
      <c r="AJ29" s="359">
        <v>8.26122333333333</v>
      </c>
      <c r="AK29" s="359">
        <v>8.4736741582488797</v>
      </c>
      <c r="AL29" s="359">
        <v>7.3212219611528804</v>
      </c>
      <c r="AM29" s="359">
        <v>7.2087538461538481</v>
      </c>
      <c r="AN29" s="359">
        <v>8.1955830188679251</v>
      </c>
    </row>
    <row r="30" spans="1:40" x14ac:dyDescent="0.25">
      <c r="C30" s="1">
        <f t="shared" si="3"/>
        <v>101.6</v>
      </c>
      <c r="D30" s="361">
        <v>40</v>
      </c>
      <c r="E30" s="361">
        <v>11.7</v>
      </c>
      <c r="F30" s="362">
        <f t="shared" si="4"/>
        <v>450.68400000000003</v>
      </c>
      <c r="G30" s="362">
        <v>1</v>
      </c>
      <c r="H30" s="363">
        <f t="shared" si="5"/>
        <v>78.486967981113111</v>
      </c>
      <c r="R30" s="352">
        <v>2005</v>
      </c>
      <c r="S30" s="360">
        <f t="shared" ref="S30:AL30" si="7">IF(S28=$R$30,1,IF(S28&lt;$R30,T30/(1+T29/100),R30*(S29/100+1)))</f>
        <v>0.45926906270745477</v>
      </c>
      <c r="T30" s="360">
        <f t="shared" si="7"/>
        <v>0.4723674814389886</v>
      </c>
      <c r="U30" s="360">
        <f t="shared" si="7"/>
        <v>0.48780323005611481</v>
      </c>
      <c r="V30" s="360">
        <f t="shared" si="7"/>
        <v>0.50512413901889353</v>
      </c>
      <c r="W30" s="360">
        <f t="shared" si="7"/>
        <v>0.52344542089662693</v>
      </c>
      <c r="X30" s="360">
        <f t="shared" si="7"/>
        <v>0.54595016723790091</v>
      </c>
      <c r="Y30" s="360">
        <f t="shared" si="7"/>
        <v>0.57110734166332588</v>
      </c>
      <c r="Z30" s="360">
        <f t="shared" si="7"/>
        <v>0.60267977840717046</v>
      </c>
      <c r="AA30" s="360">
        <f t="shared" si="7"/>
        <v>0.63950040404465835</v>
      </c>
      <c r="AB30" s="360">
        <f t="shared" si="7"/>
        <v>0.68388063427633072</v>
      </c>
      <c r="AC30" s="360">
        <f t="shared" si="7"/>
        <v>0.742757154765327</v>
      </c>
      <c r="AD30" s="360">
        <f t="shared" si="7"/>
        <v>0.82104930479768157</v>
      </c>
      <c r="AE30" s="360">
        <f t="shared" si="7"/>
        <v>0.88315962524028668</v>
      </c>
      <c r="AF30" s="360">
        <f t="shared" si="7"/>
        <v>0.94020902131496165</v>
      </c>
      <c r="AG30" s="360">
        <f t="shared" si="7"/>
        <v>1</v>
      </c>
      <c r="AH30" s="360">
        <f t="shared" si="7"/>
        <v>1.0677154916666667</v>
      </c>
      <c r="AI30" s="360">
        <f t="shared" si="7"/>
        <v>1.142939945216128</v>
      </c>
      <c r="AJ30" s="360">
        <f t="shared" si="7"/>
        <v>1.2373607666563098</v>
      </c>
      <c r="AK30" s="360">
        <f t="shared" si="7"/>
        <v>1.3422106861847758</v>
      </c>
      <c r="AL30" s="360">
        <f t="shared" si="7"/>
        <v>1.4404769097066763</v>
      </c>
      <c r="AM30" s="28"/>
    </row>
    <row r="31" spans="1:40" x14ac:dyDescent="0.25">
      <c r="C31" s="1">
        <f t="shared" si="3"/>
        <v>111.76</v>
      </c>
      <c r="D31" s="361">
        <v>44</v>
      </c>
      <c r="E31" s="361">
        <v>14.9</v>
      </c>
      <c r="F31" s="362">
        <f t="shared" si="4"/>
        <v>573.94800000000009</v>
      </c>
      <c r="G31" s="362">
        <v>1</v>
      </c>
      <c r="H31" s="363">
        <f t="shared" si="5"/>
        <v>61.63070640127674</v>
      </c>
      <c r="R31" s="352" t="s">
        <v>694</v>
      </c>
      <c r="S31" s="360">
        <f t="shared" ref="S31:AL31" si="8">1/S30</f>
        <v>2.1773728761629654</v>
      </c>
      <c r="T31" s="360">
        <f t="shared" si="8"/>
        <v>2.1169958544852983</v>
      </c>
      <c r="U31" s="360">
        <f t="shared" si="8"/>
        <v>2.0500069257125753</v>
      </c>
      <c r="V31" s="360">
        <f t="shared" si="8"/>
        <v>1.9797113674715836</v>
      </c>
      <c r="W31" s="360">
        <f t="shared" si="8"/>
        <v>1.9104188518586465</v>
      </c>
      <c r="X31" s="360">
        <f t="shared" si="8"/>
        <v>1.8316690057249205</v>
      </c>
      <c r="Y31" s="360">
        <f t="shared" si="8"/>
        <v>1.7509843194933241</v>
      </c>
      <c r="Z31" s="360">
        <f t="shared" si="8"/>
        <v>1.6592559362832977</v>
      </c>
      <c r="AA31" s="360">
        <f t="shared" si="8"/>
        <v>1.563720669565311</v>
      </c>
      <c r="AB31" s="360">
        <f t="shared" si="8"/>
        <v>1.4622434820927204</v>
      </c>
      <c r="AC31" s="360">
        <f t="shared" si="8"/>
        <v>1.3463350619839516</v>
      </c>
      <c r="AD31" s="360">
        <f t="shared" si="8"/>
        <v>1.2179536529129813</v>
      </c>
      <c r="AE31" s="360">
        <f t="shared" si="8"/>
        <v>1.1322981388873203</v>
      </c>
      <c r="AF31" s="360">
        <f t="shared" si="8"/>
        <v>1.0635932833333333</v>
      </c>
      <c r="AG31" s="360">
        <f t="shared" si="8"/>
        <v>1</v>
      </c>
      <c r="AH31" s="360">
        <f t="shared" si="8"/>
        <v>0.93657908666196721</v>
      </c>
      <c r="AI31" s="360">
        <f t="shared" si="8"/>
        <v>0.87493660903670811</v>
      </c>
      <c r="AJ31" s="360">
        <f t="shared" si="8"/>
        <v>0.80817173693188604</v>
      </c>
      <c r="AK31" s="360">
        <f t="shared" si="8"/>
        <v>0.74503951599617557</v>
      </c>
      <c r="AL31" s="360">
        <f t="shared" si="8"/>
        <v>0.69421452941139439</v>
      </c>
      <c r="AM31" s="28"/>
    </row>
    <row r="32" spans="1:40" x14ac:dyDescent="0.25">
      <c r="C32" s="8"/>
      <c r="D32" s="447" t="s">
        <v>804</v>
      </c>
      <c r="E32" s="447"/>
      <c r="F32" s="365">
        <f>AVERAGE(F25:F31)</f>
        <v>286.69885714285715</v>
      </c>
      <c r="G32" s="365">
        <v>1</v>
      </c>
      <c r="H32" s="366">
        <f>G11/F32</f>
        <v>3.9016575467685315</v>
      </c>
      <c r="I32" s="367">
        <f>AVERAGE(H25:H31)</f>
        <v>188.96941614719825</v>
      </c>
      <c r="K32" t="s">
        <v>921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4" t="s">
        <v>922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5" t="s">
        <v>885</v>
      </c>
      <c r="S34" s="346">
        <v>1991</v>
      </c>
      <c r="T34" s="346">
        <v>1992</v>
      </c>
      <c r="U34" s="346">
        <v>1993</v>
      </c>
      <c r="V34" s="346">
        <v>1994</v>
      </c>
      <c r="W34" s="346">
        <v>1995</v>
      </c>
      <c r="X34" s="346">
        <v>1996</v>
      </c>
      <c r="Y34" s="346">
        <v>1997</v>
      </c>
      <c r="Z34" s="346">
        <v>1998</v>
      </c>
      <c r="AA34" s="346">
        <v>1999</v>
      </c>
      <c r="AB34" s="346">
        <v>2000</v>
      </c>
      <c r="AC34" s="346">
        <v>2001</v>
      </c>
      <c r="AD34" s="346">
        <v>2002</v>
      </c>
      <c r="AE34" s="346">
        <v>2003</v>
      </c>
      <c r="AF34" s="346">
        <v>2004</v>
      </c>
      <c r="AG34" s="346">
        <v>2005</v>
      </c>
      <c r="AH34" s="346">
        <v>2006</v>
      </c>
      <c r="AI34" s="346">
        <v>2007</v>
      </c>
      <c r="AJ34" s="346">
        <v>2008</v>
      </c>
      <c r="AK34" s="346">
        <v>2009</v>
      </c>
      <c r="AL34" s="346">
        <v>2010</v>
      </c>
      <c r="AM34" s="347"/>
    </row>
    <row r="35" spans="1:39" ht="24" x14ac:dyDescent="0.25">
      <c r="A35" t="s">
        <v>923</v>
      </c>
      <c r="R35" s="349" t="s">
        <v>232</v>
      </c>
      <c r="S35" s="350">
        <v>120.919166666666</v>
      </c>
      <c r="T35" s="350">
        <v>124.9175</v>
      </c>
      <c r="U35" s="350">
        <v>122.595</v>
      </c>
      <c r="V35" s="350">
        <v>117.354166666667</v>
      </c>
      <c r="W35" s="350">
        <v>114.07250000000001</v>
      </c>
      <c r="X35" s="350">
        <v>105.07</v>
      </c>
      <c r="Y35" s="350">
        <v>110.886666666667</v>
      </c>
      <c r="Z35" s="350">
        <v>101.948333333333</v>
      </c>
      <c r="AA35" s="350">
        <v>96.432500000000005</v>
      </c>
      <c r="AB35" s="350">
        <v>93.360833333333304</v>
      </c>
      <c r="AC35" s="350">
        <v>82.358333333333306</v>
      </c>
      <c r="AD35" s="350">
        <v>70.561666666666696</v>
      </c>
      <c r="AE35" s="350">
        <v>91.406666666666695</v>
      </c>
      <c r="AF35" s="350">
        <v>99.689166666666793</v>
      </c>
      <c r="AG35" s="350">
        <v>100</v>
      </c>
      <c r="AH35" s="350">
        <v>96.115833333333299</v>
      </c>
      <c r="AI35" s="350">
        <v>90.378333333333302</v>
      </c>
      <c r="AJ35" s="350">
        <v>80.405000000000001</v>
      </c>
      <c r="AK35" s="350">
        <v>87.792500000000004</v>
      </c>
      <c r="AL35" s="350"/>
      <c r="AM35" s="28"/>
    </row>
    <row r="36" spans="1:39" x14ac:dyDescent="0.25">
      <c r="A36" t="s">
        <v>924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925</v>
      </c>
      <c r="C37" s="26" t="s">
        <v>926</v>
      </c>
      <c r="D37" s="26" t="s">
        <v>241</v>
      </c>
      <c r="E37" s="26" t="s">
        <v>927</v>
      </c>
      <c r="F37" s="26" t="s">
        <v>928</v>
      </c>
      <c r="G37" s="81" t="s">
        <v>929</v>
      </c>
      <c r="H37" s="26" t="s">
        <v>930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931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931</v>
      </c>
      <c r="C39">
        <f>0.75*_xlfn.SINGLE(inchtocentimetre)</f>
        <v>1.905</v>
      </c>
      <c r="D39">
        <f>C39*$F$25/$C$25</f>
        <v>2.8890000000000002</v>
      </c>
      <c r="E39">
        <v>2000</v>
      </c>
      <c r="F39">
        <f>J24*FuelDistribution!E39/10^6</f>
        <v>0</v>
      </c>
      <c r="G39">
        <f>F39/D39</f>
        <v>0</v>
      </c>
      <c r="R39" s="181" t="s">
        <v>507</v>
      </c>
      <c r="S39" s="368">
        <v>2000</v>
      </c>
      <c r="T39" s="368">
        <v>2001</v>
      </c>
      <c r="U39" s="368">
        <v>2002</v>
      </c>
      <c r="V39" s="368">
        <v>2003</v>
      </c>
      <c r="W39" s="368">
        <v>2004</v>
      </c>
      <c r="X39" s="368">
        <v>2005</v>
      </c>
      <c r="Y39" s="368">
        <v>2006</v>
      </c>
      <c r="Z39" s="368">
        <v>2007</v>
      </c>
      <c r="AA39" s="368">
        <v>2008</v>
      </c>
      <c r="AB39" s="368">
        <v>2010</v>
      </c>
      <c r="AC39" s="368">
        <v>2011</v>
      </c>
      <c r="AD39" s="368">
        <v>2012</v>
      </c>
      <c r="AE39" s="368">
        <v>2013</v>
      </c>
      <c r="AF39" s="369" t="s">
        <v>932</v>
      </c>
      <c r="AG39" s="28"/>
      <c r="AH39" s="28"/>
      <c r="AI39" s="28"/>
      <c r="AJ39" s="28"/>
      <c r="AK39" s="28"/>
      <c r="AL39" s="28"/>
      <c r="AM39" s="28"/>
    </row>
    <row r="40" spans="1:39" x14ac:dyDescent="0.25">
      <c r="B40" t="s">
        <v>933</v>
      </c>
      <c r="C40">
        <v>4.4000000000000004</v>
      </c>
      <c r="D40">
        <f>C40*$F$25/$C$25</f>
        <v>6.6727559055118126</v>
      </c>
      <c r="E40">
        <v>2000</v>
      </c>
      <c r="F40">
        <f>J25*FuelDistribution!E40/10^6</f>
        <v>0</v>
      </c>
      <c r="G40">
        <f>F40/D40</f>
        <v>0</v>
      </c>
      <c r="R40" s="181" t="s">
        <v>934</v>
      </c>
      <c r="S40" s="181">
        <v>62.5</v>
      </c>
      <c r="T40" s="181">
        <v>66.099999999999994</v>
      </c>
      <c r="U40" s="181">
        <v>72.099999999999994</v>
      </c>
      <c r="V40" s="181">
        <v>76.3</v>
      </c>
      <c r="W40" s="181">
        <v>77.400000000000006</v>
      </c>
      <c r="X40" s="181">
        <v>80</v>
      </c>
      <c r="Y40" s="181">
        <v>83.7</v>
      </c>
      <c r="Z40" s="181">
        <v>89.7</v>
      </c>
      <c r="AA40" s="181">
        <v>100</v>
      </c>
      <c r="AB40" s="181">
        <v>111.7</v>
      </c>
      <c r="AC40" s="181">
        <v>118.1</v>
      </c>
      <c r="AD40" s="181">
        <v>100</v>
      </c>
      <c r="AE40" s="181">
        <v>100</v>
      </c>
      <c r="AF40" s="370">
        <v>2</v>
      </c>
      <c r="AG40" s="28" t="s">
        <v>935</v>
      </c>
      <c r="AH40" s="28"/>
      <c r="AI40" s="28"/>
      <c r="AJ40" s="28"/>
      <c r="AK40" s="28"/>
      <c r="AL40" s="28"/>
      <c r="AM40" s="28"/>
    </row>
    <row r="41" spans="1:39" x14ac:dyDescent="0.25">
      <c r="B41" t="s">
        <v>933</v>
      </c>
      <c r="C41">
        <v>15</v>
      </c>
      <c r="D41">
        <f>C41*$F$25/$C$25</f>
        <v>22.748031496062996</v>
      </c>
      <c r="E41">
        <v>2000</v>
      </c>
      <c r="F41">
        <f>J26*FuelDistribution!E41/10^6</f>
        <v>0</v>
      </c>
      <c r="G41">
        <f>F41/D41</f>
        <v>0</v>
      </c>
      <c r="H41" s="26" t="s">
        <v>936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71" t="s">
        <v>804</v>
      </c>
      <c r="C42" s="371">
        <f>AVERAGE(C38:C41)</f>
        <v>5.6437499999999998</v>
      </c>
      <c r="D42" s="371">
        <f>AVERAGE(D38:D41)</f>
        <v>8.5589468503937027</v>
      </c>
      <c r="E42" s="371">
        <f>AVERAGE(E38:E41)</f>
        <v>2000</v>
      </c>
      <c r="F42" s="371">
        <f>AVERAGE(F38:F41)</f>
        <v>1.9259999999999999E-2</v>
      </c>
      <c r="G42" s="371">
        <f>AVERAGE(G38:G41)</f>
        <v>9.9999999999999985E-3</v>
      </c>
      <c r="H42" s="372">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937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938</v>
      </c>
      <c r="B45" t="s">
        <v>939</v>
      </c>
    </row>
    <row r="47" spans="1:39" x14ac:dyDescent="0.25">
      <c r="C47" s="142" t="s">
        <v>940</v>
      </c>
    </row>
    <row r="48" spans="1:39" x14ac:dyDescent="0.25">
      <c r="A48" s="26" t="s">
        <v>4</v>
      </c>
      <c r="C48" s="142" t="s">
        <v>936</v>
      </c>
      <c r="D48" t="s">
        <v>941</v>
      </c>
    </row>
    <row r="49" spans="1:18" x14ac:dyDescent="0.25">
      <c r="A49" t="s">
        <v>942</v>
      </c>
      <c r="C49" s="142">
        <f>200</f>
        <v>200</v>
      </c>
    </row>
    <row r="50" spans="1:18" x14ac:dyDescent="0.25">
      <c r="C50" s="142"/>
    </row>
    <row r="51" spans="1:18" x14ac:dyDescent="0.25">
      <c r="I51" s="142" t="s">
        <v>210</v>
      </c>
      <c r="J51" s="142" t="s">
        <v>208</v>
      </c>
    </row>
    <row r="52" spans="1:18" x14ac:dyDescent="0.25">
      <c r="A52" s="305">
        <f>[13]LossesCalib!V6</f>
        <v>0</v>
      </c>
      <c r="B52" s="107"/>
      <c r="C52" s="107"/>
      <c r="D52" s="107" t="s">
        <v>943</v>
      </c>
      <c r="E52" s="107"/>
      <c r="F52" s="15"/>
      <c r="H52" t="s">
        <v>944</v>
      </c>
      <c r="I52" t="s">
        <v>945</v>
      </c>
      <c r="J52" t="s">
        <v>945</v>
      </c>
      <c r="K52" t="s">
        <v>946</v>
      </c>
      <c r="L52" t="s">
        <v>947</v>
      </c>
    </row>
    <row r="53" spans="1:18" x14ac:dyDescent="0.25">
      <c r="A53" s="82" t="str">
        <f>[13]LossesCalib!X7</f>
        <v xml:space="preserve">Industry </v>
      </c>
      <c r="B53" s="82" t="str">
        <f>[13]LossesCalib!Y7</f>
        <v>INDODS</v>
      </c>
      <c r="C53" s="82" t="str">
        <f>[13]LossesCalib!Z7</f>
        <v>IND</v>
      </c>
      <c r="D53" s="82">
        <f>[13]LossesCalib!AA7</f>
        <v>36.014976280799999</v>
      </c>
      <c r="F53" s="11"/>
      <c r="H53" t="s">
        <v>948</v>
      </c>
      <c r="I53" s="82">
        <v>11.7</v>
      </c>
      <c r="J53" s="82">
        <v>11.7</v>
      </c>
    </row>
    <row r="54" spans="1:18" x14ac:dyDescent="0.25">
      <c r="A54" s="82" t="str">
        <f>[13]LossesCalib!X8</f>
        <v xml:space="preserve">Industry </v>
      </c>
      <c r="B54" s="82" t="str">
        <f>[13]LossesCalib!Y8</f>
        <v>INDGAS</v>
      </c>
      <c r="C54" s="82"/>
      <c r="D54" s="82">
        <f>[13]LossesCalib!AA8</f>
        <v>104.82035999999999</v>
      </c>
      <c r="F54" s="11"/>
      <c r="H54" t="s">
        <v>949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950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255</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951</v>
      </c>
      <c r="I57" s="373">
        <f>I56*D61</f>
        <v>25.463596835812123</v>
      </c>
      <c r="J57" s="373">
        <f>J56*D62</f>
        <v>25.827936915797132</v>
      </c>
    </row>
    <row r="58" spans="1:18" x14ac:dyDescent="0.25">
      <c r="A58" s="82" t="str">
        <f>[13]LossesCalib!X12</f>
        <v>Transport</v>
      </c>
      <c r="B58" s="82" t="str">
        <f>[13]LossesCalib!Y12</f>
        <v>TRAOGS</v>
      </c>
      <c r="C58" s="82"/>
      <c r="D58" s="82">
        <f>[13]LossesCalib!AA12</f>
        <v>384.06297777186296</v>
      </c>
      <c r="F58" s="11"/>
      <c r="J58" s="374"/>
      <c r="K58" s="374"/>
      <c r="L58" s="26"/>
    </row>
    <row r="59" spans="1:18" x14ac:dyDescent="0.25">
      <c r="A59" s="82" t="str">
        <f>[13]LossesCalib!X13</f>
        <v>Power</v>
      </c>
      <c r="B59" s="82" t="str">
        <f>[13]LossesCalib!Y13</f>
        <v>PWRODS</v>
      </c>
      <c r="C59" s="82"/>
      <c r="D59" s="82">
        <f>[13]LossesCalib!AA13</f>
        <v>21.6357</v>
      </c>
      <c r="F59" s="11"/>
      <c r="J59" s="374"/>
      <c r="K59" s="374"/>
      <c r="L59" s="26"/>
      <c r="P59" t="s">
        <v>952</v>
      </c>
    </row>
    <row r="60" spans="1:18" x14ac:dyDescent="0.25">
      <c r="A60" s="73"/>
      <c r="D60" s="82" t="str">
        <f>[13]LossesCalib!AA14</f>
        <v>SATIM</v>
      </c>
      <c r="F60" s="11"/>
      <c r="J60" s="374"/>
      <c r="K60" s="374"/>
      <c r="L60" s="26"/>
    </row>
    <row r="61" spans="1:18" x14ac:dyDescent="0.25">
      <c r="A61" s="82" t="str">
        <f>[13]LossesCalib!X15</f>
        <v>OGS</v>
      </c>
      <c r="B61" s="82">
        <f>[13]LossesCalib!Y15</f>
        <v>0</v>
      </c>
      <c r="C61" s="82">
        <f>[13]LossesCalib!Z15</f>
        <v>0</v>
      </c>
      <c r="D61" s="82">
        <f>[13]LossesCalib!AA15</f>
        <v>389.02717388046295</v>
      </c>
      <c r="E61" t="s">
        <v>953</v>
      </c>
      <c r="F61" s="11" t="s">
        <v>954</v>
      </c>
      <c r="H61" s="8"/>
      <c r="I61" s="8" t="s">
        <v>955</v>
      </c>
      <c r="J61" s="375" t="s">
        <v>956</v>
      </c>
      <c r="K61" s="374"/>
      <c r="L61" s="26"/>
      <c r="P61" t="s">
        <v>957</v>
      </c>
      <c r="Q61">
        <v>30</v>
      </c>
      <c r="R61" t="s">
        <v>958</v>
      </c>
    </row>
    <row r="62" spans="1:18" x14ac:dyDescent="0.25">
      <c r="A62" s="82" t="str">
        <f>[13]LossesCalib!X16</f>
        <v>ODS</v>
      </c>
      <c r="B62" s="82">
        <f>[13]LossesCalib!Y16</f>
        <v>0</v>
      </c>
      <c r="C62" s="82">
        <f>[13]LossesCalib!Z16</f>
        <v>0</v>
      </c>
      <c r="D62" s="82">
        <f>[13]LossesCalib!AA16</f>
        <v>381.14143018103408</v>
      </c>
      <c r="F62" s="11"/>
      <c r="H62" s="8" t="s">
        <v>767</v>
      </c>
      <c r="I62" s="8">
        <v>44</v>
      </c>
      <c r="J62" s="375">
        <v>42.5</v>
      </c>
      <c r="K62" s="374"/>
      <c r="L62" s="26">
        <f>I53*D65/(I62*10^9)</f>
        <v>0</v>
      </c>
      <c r="P62" t="s">
        <v>959</v>
      </c>
      <c r="Q62">
        <v>850</v>
      </c>
      <c r="R62" t="s">
        <v>960</v>
      </c>
    </row>
    <row r="63" spans="1:18" x14ac:dyDescent="0.25">
      <c r="A63" s="82">
        <f>[13]LossesCalib!X17</f>
        <v>0</v>
      </c>
      <c r="B63" s="82">
        <f>[13]LossesCalib!Y17</f>
        <v>0</v>
      </c>
      <c r="C63" s="82">
        <f>[13]LossesCalib!Z17</f>
        <v>0</v>
      </c>
      <c r="D63" s="82">
        <f>[13]LossesCalib!AA17</f>
        <v>0</v>
      </c>
      <c r="F63" s="11"/>
      <c r="H63" s="8" t="s">
        <v>961</v>
      </c>
      <c r="I63" s="8">
        <v>0.745</v>
      </c>
      <c r="J63" s="375">
        <v>0.85</v>
      </c>
      <c r="K63" s="374"/>
      <c r="L63" s="26"/>
    </row>
    <row r="64" spans="1:18" x14ac:dyDescent="0.25">
      <c r="A64" s="212"/>
      <c r="B64" s="13"/>
      <c r="C64" s="13"/>
      <c r="D64" s="13"/>
      <c r="E64" s="13"/>
      <c r="F64" s="14"/>
      <c r="J64" s="374"/>
      <c r="K64" s="374"/>
      <c r="L64" s="26"/>
      <c r="P64" t="s">
        <v>962</v>
      </c>
      <c r="Q64">
        <f>Q62/Q61</f>
        <v>28.333333333333332</v>
      </c>
      <c r="R64" t="s">
        <v>963</v>
      </c>
    </row>
    <row r="65" spans="1:26" x14ac:dyDescent="0.25">
      <c r="J65" s="374"/>
      <c r="K65" s="374"/>
      <c r="L65" s="26"/>
      <c r="Q65">
        <f>0.25%*Q64</f>
        <v>7.0833333333333331E-2</v>
      </c>
    </row>
    <row r="66" spans="1:26" x14ac:dyDescent="0.25">
      <c r="J66" s="374"/>
      <c r="K66" s="374"/>
      <c r="L66" s="26"/>
    </row>
    <row r="69" spans="1:26" x14ac:dyDescent="0.25">
      <c r="E69" t="s">
        <v>964</v>
      </c>
      <c r="F69" t="s">
        <v>965</v>
      </c>
      <c r="G69" t="s">
        <v>966</v>
      </c>
      <c r="P69" t="s">
        <v>967</v>
      </c>
      <c r="Z69" t="s">
        <v>968</v>
      </c>
    </row>
    <row r="70" spans="1:26" x14ac:dyDescent="0.25">
      <c r="A70" s="26" t="s">
        <v>969</v>
      </c>
      <c r="E70" t="s">
        <v>970</v>
      </c>
      <c r="F70" t="s">
        <v>971</v>
      </c>
      <c r="G70" t="str">
        <f>E70</f>
        <v>USA$ million</v>
      </c>
      <c r="Y70">
        <v>2000</v>
      </c>
      <c r="Z70">
        <v>93.1</v>
      </c>
    </row>
    <row r="71" spans="1:26" x14ac:dyDescent="0.25">
      <c r="C71" t="s">
        <v>972</v>
      </c>
      <c r="E71">
        <v>380</v>
      </c>
      <c r="F71">
        <v>116</v>
      </c>
      <c r="G71">
        <v>122</v>
      </c>
      <c r="P71" s="256" t="s">
        <v>973</v>
      </c>
      <c r="Y71">
        <v>2010</v>
      </c>
      <c r="Z71">
        <v>114.5</v>
      </c>
    </row>
    <row r="72" spans="1:26" x14ac:dyDescent="0.25">
      <c r="C72" t="s">
        <v>267</v>
      </c>
      <c r="E72">
        <v>135</v>
      </c>
      <c r="F72">
        <v>116</v>
      </c>
      <c r="G72">
        <v>122</v>
      </c>
      <c r="P72" s="8" t="s">
        <v>974</v>
      </c>
      <c r="Q72" s="8"/>
      <c r="R72" s="8"/>
      <c r="S72" s="1">
        <v>7.98</v>
      </c>
      <c r="T72" s="1">
        <v>2.77</v>
      </c>
    </row>
    <row r="73" spans="1:26" x14ac:dyDescent="0.25">
      <c r="P73" s="8" t="s">
        <v>975</v>
      </c>
      <c r="Q73" s="8"/>
      <c r="R73" s="8"/>
      <c r="S73" s="448">
        <v>1.59</v>
      </c>
      <c r="T73" s="376">
        <v>19.5</v>
      </c>
      <c r="Y73" t="s">
        <v>976</v>
      </c>
      <c r="Z73">
        <f>Z71/Z70</f>
        <v>1.2298603651987112</v>
      </c>
    </row>
    <row r="74" spans="1:26" x14ac:dyDescent="0.25">
      <c r="C74" s="26" t="s">
        <v>977</v>
      </c>
      <c r="E74" s="26" t="s">
        <v>978</v>
      </c>
      <c r="F74" s="26" t="s">
        <v>979</v>
      </c>
      <c r="G74" s="26" t="s">
        <v>980</v>
      </c>
      <c r="H74" s="26" t="s">
        <v>925</v>
      </c>
      <c r="I74" s="26" t="s">
        <v>981</v>
      </c>
      <c r="P74" s="8" t="s">
        <v>982</v>
      </c>
      <c r="Q74" s="8"/>
      <c r="R74" s="8"/>
      <c r="S74" s="449"/>
      <c r="T74" s="1">
        <v>11.1</v>
      </c>
    </row>
    <row r="75" spans="1:26" x14ac:dyDescent="0.25">
      <c r="A75" s="377" t="s">
        <v>983</v>
      </c>
      <c r="B75" s="377"/>
      <c r="C75" s="377" t="s">
        <v>984</v>
      </c>
      <c r="D75" s="377" t="s">
        <v>985</v>
      </c>
      <c r="E75" s="377" t="s">
        <v>971</v>
      </c>
      <c r="F75" s="377" t="s">
        <v>986</v>
      </c>
      <c r="G75" s="377" t="s">
        <v>915</v>
      </c>
      <c r="H75" s="377" t="s">
        <v>241</v>
      </c>
      <c r="I75" s="377" t="s">
        <v>919</v>
      </c>
      <c r="J75" s="377" t="s">
        <v>987</v>
      </c>
      <c r="P75" t="s">
        <v>988</v>
      </c>
      <c r="Y75">
        <v>11.3</v>
      </c>
      <c r="Z75" t="s">
        <v>989</v>
      </c>
    </row>
    <row r="76" spans="1:26" x14ac:dyDescent="0.25">
      <c r="A76" s="8" t="s">
        <v>8</v>
      </c>
      <c r="B76" s="8" t="s">
        <v>990</v>
      </c>
      <c r="C76" s="8" t="s">
        <v>991</v>
      </c>
      <c r="D76" s="8" t="s">
        <v>992</v>
      </c>
      <c r="E76" s="8">
        <f>8+61</f>
        <v>69</v>
      </c>
      <c r="F76" s="8">
        <v>62</v>
      </c>
      <c r="G76" s="362">
        <f>D25</f>
        <v>20</v>
      </c>
      <c r="H76" s="362">
        <f>F25</f>
        <v>77.040000000000006</v>
      </c>
      <c r="I76" s="8">
        <f>(F76*$AN$29/H76)*(AE40/Y40)</f>
        <v>7.8800652079419287</v>
      </c>
      <c r="J76" s="8">
        <v>2018</v>
      </c>
    </row>
    <row r="77" spans="1:26" x14ac:dyDescent="0.25">
      <c r="A77" s="8" t="s">
        <v>8</v>
      </c>
      <c r="B77" s="8" t="s">
        <v>993</v>
      </c>
      <c r="C77" s="8" t="s">
        <v>991</v>
      </c>
      <c r="D77" s="8" t="s">
        <v>994</v>
      </c>
      <c r="E77" s="8">
        <v>62</v>
      </c>
      <c r="F77" s="8">
        <v>71</v>
      </c>
      <c r="G77" s="362">
        <f>G76</f>
        <v>20</v>
      </c>
      <c r="H77" s="362">
        <f>H76</f>
        <v>77.040000000000006</v>
      </c>
      <c r="I77" s="8">
        <f>(F77*FuelDistribution!$AN$29/H77)*(AE40/Y40)</f>
        <v>9.0239456413528547</v>
      </c>
      <c r="J77" s="8">
        <v>2018</v>
      </c>
      <c r="P77" s="256" t="s">
        <v>973</v>
      </c>
    </row>
    <row r="78" spans="1:26" x14ac:dyDescent="0.25">
      <c r="A78" s="8" t="s">
        <v>995</v>
      </c>
      <c r="B78" s="8"/>
      <c r="C78" s="8" t="s">
        <v>991</v>
      </c>
      <c r="D78" s="8" t="s">
        <v>996</v>
      </c>
      <c r="E78" s="8"/>
      <c r="F78" s="8"/>
      <c r="G78" s="8"/>
      <c r="H78" s="8"/>
      <c r="I78" s="8"/>
      <c r="J78" s="8"/>
      <c r="P78" s="8" t="s">
        <v>974</v>
      </c>
      <c r="Q78" s="8"/>
      <c r="R78" s="8"/>
      <c r="S78" s="376">
        <f>S72*$Z$73</f>
        <v>9.8142857142857167</v>
      </c>
      <c r="T78" s="376">
        <f>T72*$Z$73</f>
        <v>3.4067132116004299</v>
      </c>
    </row>
    <row r="79" spans="1:26" x14ac:dyDescent="0.25">
      <c r="A79" s="8" t="s">
        <v>995</v>
      </c>
      <c r="B79" s="8"/>
      <c r="C79" s="8" t="s">
        <v>991</v>
      </c>
      <c r="D79" s="8" t="s">
        <v>997</v>
      </c>
      <c r="E79" s="8"/>
      <c r="F79" s="8"/>
      <c r="G79" s="8"/>
      <c r="H79" s="8"/>
      <c r="I79" s="8"/>
      <c r="J79" s="8"/>
      <c r="P79" s="8" t="s">
        <v>975</v>
      </c>
      <c r="Q79" s="8"/>
      <c r="R79" s="8"/>
      <c r="S79" s="450">
        <f>S73*Z73</f>
        <v>1.955477980665951</v>
      </c>
      <c r="T79" s="376">
        <f>T73*$Z$73</f>
        <v>23.982277121374867</v>
      </c>
    </row>
    <row r="80" spans="1:26" x14ac:dyDescent="0.25">
      <c r="A80" s="8" t="s">
        <v>995</v>
      </c>
      <c r="B80" s="8"/>
      <c r="C80" s="8" t="s">
        <v>998</v>
      </c>
      <c r="D80" s="8"/>
      <c r="E80" s="8">
        <v>105</v>
      </c>
      <c r="F80" s="8">
        <v>75</v>
      </c>
      <c r="G80" s="363">
        <f>C42</f>
        <v>5.6437499999999998</v>
      </c>
      <c r="H80" s="363">
        <f>D42</f>
        <v>8.5589468503937027</v>
      </c>
      <c r="I80" s="363">
        <f>F80*FuelDistribution!$AN$29/H80+$H$42</f>
        <v>80.994982809790869</v>
      </c>
      <c r="J80" s="8">
        <v>2020</v>
      </c>
      <c r="P80" s="8" t="s">
        <v>982</v>
      </c>
      <c r="Q80" s="8"/>
      <c r="R80" s="8"/>
      <c r="S80" s="451"/>
      <c r="T80" s="376">
        <f>T74*$Z$73</f>
        <v>13.651450053705695</v>
      </c>
    </row>
    <row r="81" spans="1:21" x14ac:dyDescent="0.25">
      <c r="A81" s="8" t="s">
        <v>995</v>
      </c>
      <c r="B81" s="8"/>
      <c r="C81" s="8" t="s">
        <v>999</v>
      </c>
      <c r="D81" s="8"/>
      <c r="E81" s="8">
        <v>8</v>
      </c>
      <c r="F81" s="8">
        <v>5.5</v>
      </c>
      <c r="G81" s="363">
        <f>G80</f>
        <v>5.6437499999999998</v>
      </c>
      <c r="H81" s="363">
        <f>H80</f>
        <v>8.5589468503937027</v>
      </c>
      <c r="I81" s="363">
        <f>F81*FuelDistribution!$AN$29/H81+$H$42</f>
        <v>14.445554501900389</v>
      </c>
      <c r="J81" s="8">
        <v>2020</v>
      </c>
      <c r="P81" t="s">
        <v>1000</v>
      </c>
    </row>
    <row r="82" spans="1:21" x14ac:dyDescent="0.25">
      <c r="A82" s="8"/>
      <c r="B82" s="8"/>
      <c r="C82" s="8" t="s">
        <v>1001</v>
      </c>
      <c r="D82" s="8"/>
      <c r="E82" s="8">
        <v>13</v>
      </c>
      <c r="F82" s="8">
        <f>8.5</f>
        <v>8.5</v>
      </c>
      <c r="G82" s="363">
        <f>G81</f>
        <v>5.6437499999999998</v>
      </c>
      <c r="H82" s="363">
        <f>H81</f>
        <v>8.5589468503937027</v>
      </c>
      <c r="I82" s="363">
        <f>F82*FuelDistribution!$AN$29/H82+$H$42</f>
        <v>17.318191695046742</v>
      </c>
      <c r="J82" s="8">
        <v>2020</v>
      </c>
    </row>
    <row r="83" spans="1:21" x14ac:dyDescent="0.25">
      <c r="P83" s="256" t="s">
        <v>973</v>
      </c>
      <c r="U83" t="s">
        <v>1002</v>
      </c>
    </row>
    <row r="84" spans="1:21" x14ac:dyDescent="0.25">
      <c r="D84" t="s">
        <v>1003</v>
      </c>
      <c r="E84" t="s">
        <v>1004</v>
      </c>
      <c r="F84" t="s">
        <v>1005</v>
      </c>
      <c r="G84" t="s">
        <v>131</v>
      </c>
      <c r="H84" s="239" t="s">
        <v>1006</v>
      </c>
      <c r="P84" s="8" t="s">
        <v>974</v>
      </c>
      <c r="Q84" s="8"/>
      <c r="R84" s="8"/>
      <c r="S84" s="376">
        <f>S78*$Y$75</f>
        <v>110.90142857142861</v>
      </c>
      <c r="T84" s="376">
        <f>T78*$Y$75</f>
        <v>38.495859291084862</v>
      </c>
    </row>
    <row r="85" spans="1:21" x14ac:dyDescent="0.25">
      <c r="D85" t="s">
        <v>919</v>
      </c>
      <c r="H85" s="239" t="s">
        <v>919</v>
      </c>
      <c r="P85" s="8" t="s">
        <v>975</v>
      </c>
      <c r="Q85" s="8"/>
      <c r="R85" s="8"/>
      <c r="S85" s="450">
        <f>S79*Y75</f>
        <v>22.096901181525247</v>
      </c>
      <c r="T85" s="376">
        <f>T79*$Y$75</f>
        <v>270.99973147153599</v>
      </c>
    </row>
    <row r="86" spans="1:21" x14ac:dyDescent="0.25">
      <c r="C86" t="s">
        <v>1007</v>
      </c>
      <c r="D86" s="344">
        <f>AVERAGE(I80:I82)</f>
        <v>37.586243002246</v>
      </c>
      <c r="F86" s="344">
        <f>D86*10%</f>
        <v>3.7586243002246</v>
      </c>
      <c r="G86">
        <v>60</v>
      </c>
      <c r="H86" s="82">
        <f>$T$89</f>
        <v>425.26111707841039</v>
      </c>
      <c r="P86" s="8" t="s">
        <v>982</v>
      </c>
      <c r="Q86" s="8"/>
      <c r="R86" s="8"/>
      <c r="S86" s="451"/>
      <c r="T86" s="376">
        <f>T80*$Y$75</f>
        <v>154.26138560687437</v>
      </c>
    </row>
    <row r="87" spans="1:21" x14ac:dyDescent="0.25">
      <c r="C87" t="s">
        <v>1008</v>
      </c>
      <c r="D87" s="344">
        <f>D86</f>
        <v>37.586243002246</v>
      </c>
      <c r="F87" s="344">
        <f>D87*10%</f>
        <v>3.7586243002246</v>
      </c>
      <c r="G87">
        <v>60</v>
      </c>
      <c r="H87" s="82">
        <f>H86*0.95</f>
        <v>403.99806122448985</v>
      </c>
      <c r="P87" t="s">
        <v>1009</v>
      </c>
    </row>
    <row r="88" spans="1:21" x14ac:dyDescent="0.25">
      <c r="C88" t="s">
        <v>1010</v>
      </c>
      <c r="D88" s="344">
        <f>D87</f>
        <v>37.586243002246</v>
      </c>
      <c r="F88" s="344">
        <f>D88*10%</f>
        <v>3.7586243002246</v>
      </c>
      <c r="G88">
        <v>60</v>
      </c>
      <c r="H88" s="82">
        <f>H86</f>
        <v>425.26111707841039</v>
      </c>
    </row>
    <row r="89" spans="1:21" x14ac:dyDescent="0.25">
      <c r="C89" t="s">
        <v>1011</v>
      </c>
      <c r="D89" s="344">
        <f>D88</f>
        <v>37.586243002246</v>
      </c>
      <c r="F89" s="344">
        <f>D89*10%</f>
        <v>3.7586243002246</v>
      </c>
      <c r="G89">
        <v>60</v>
      </c>
      <c r="H89" s="82">
        <f>H87</f>
        <v>403.99806122448985</v>
      </c>
      <c r="P89" s="256"/>
      <c r="S89" s="259" t="s">
        <v>1012</v>
      </c>
      <c r="T89" s="82">
        <f>T86+T85</f>
        <v>425.26111707841039</v>
      </c>
      <c r="U89" t="s">
        <v>963</v>
      </c>
    </row>
    <row r="90" spans="1:21" x14ac:dyDescent="0.25">
      <c r="S90" s="259" t="s">
        <v>1013</v>
      </c>
      <c r="T90">
        <v>0.7</v>
      </c>
    </row>
    <row r="91" spans="1:21" x14ac:dyDescent="0.25">
      <c r="C91" t="s">
        <v>1014</v>
      </c>
      <c r="D91" s="82">
        <f>I57</f>
        <v>25.463596835812123</v>
      </c>
      <c r="G91">
        <v>60</v>
      </c>
      <c r="T91">
        <f>T90*T89</f>
        <v>297.68278195488728</v>
      </c>
      <c r="U91" t="s">
        <v>963</v>
      </c>
    </row>
    <row r="92" spans="1:21" x14ac:dyDescent="0.25">
      <c r="C92" t="s">
        <v>1015</v>
      </c>
      <c r="D92" s="82">
        <f>J57</f>
        <v>25.827936915797132</v>
      </c>
      <c r="G92">
        <v>60</v>
      </c>
    </row>
    <row r="94" spans="1:21" x14ac:dyDescent="0.25">
      <c r="A94" s="26" t="s">
        <v>1016</v>
      </c>
    </row>
    <row r="95" spans="1:21" x14ac:dyDescent="0.25">
      <c r="B95" t="s">
        <v>5</v>
      </c>
      <c r="C95" t="s">
        <v>6</v>
      </c>
      <c r="D95" t="s">
        <v>7</v>
      </c>
      <c r="E95" t="s">
        <v>8</v>
      </c>
      <c r="F95" t="s">
        <v>9</v>
      </c>
      <c r="G95" t="s">
        <v>10</v>
      </c>
      <c r="H95" t="s">
        <v>11</v>
      </c>
    </row>
    <row r="96" spans="1:21" x14ac:dyDescent="0.25">
      <c r="A96" t="s">
        <v>172</v>
      </c>
      <c r="B96">
        <v>0</v>
      </c>
      <c r="C96" s="344">
        <f>H88</f>
        <v>425.26111707841039</v>
      </c>
      <c r="D96" s="344">
        <f>H87-D87*5%</f>
        <v>402.11874907437755</v>
      </c>
      <c r="E96" s="344">
        <f>H86</f>
        <v>425.26111707841039</v>
      </c>
      <c r="F96" s="344">
        <f>H89</f>
        <v>403.99806122448985</v>
      </c>
      <c r="G96" s="82">
        <f>C96/20</f>
        <v>21.26305585392052</v>
      </c>
      <c r="H96" s="82">
        <f>G96</f>
        <v>21.26305585392052</v>
      </c>
    </row>
    <row r="97" spans="1:15" x14ac:dyDescent="0.25">
      <c r="A97" t="s">
        <v>210</v>
      </c>
      <c r="E97" s="82">
        <f>I57</f>
        <v>25.463596835812123</v>
      </c>
    </row>
    <row r="98" spans="1:15" x14ac:dyDescent="0.25">
      <c r="A98" t="s">
        <v>208</v>
      </c>
      <c r="E98" s="82">
        <f>J57</f>
        <v>25.827936915797132</v>
      </c>
      <c r="O98">
        <f>_xlfn.SINGLE(zar.2010)</f>
        <v>1.3094103081137336</v>
      </c>
    </row>
    <row r="101" spans="1:15" x14ac:dyDescent="0.25">
      <c r="A101" t="s">
        <v>1017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1018</v>
      </c>
      <c r="B102" s="256">
        <v>0.08</v>
      </c>
    </row>
    <row r="103" spans="1:15" x14ac:dyDescent="0.25">
      <c r="A103" t="s">
        <v>131</v>
      </c>
      <c r="B103">
        <v>60</v>
      </c>
    </row>
    <row r="106" spans="1:15" x14ac:dyDescent="0.25">
      <c r="A106" t="s">
        <v>1019</v>
      </c>
      <c r="B106" t="s">
        <v>1020</v>
      </c>
      <c r="C106" t="s">
        <v>1019</v>
      </c>
      <c r="D106" t="s">
        <v>1020</v>
      </c>
    </row>
    <row r="107" spans="1:15" x14ac:dyDescent="0.25">
      <c r="A107" s="257" t="s">
        <v>1021</v>
      </c>
      <c r="B107" s="378" t="s">
        <v>1021</v>
      </c>
      <c r="C107" s="257" t="s">
        <v>1022</v>
      </c>
      <c r="D107" s="378" t="s">
        <v>911</v>
      </c>
    </row>
    <row r="108" spans="1:15" x14ac:dyDescent="0.25">
      <c r="A108" s="26" t="s">
        <v>916</v>
      </c>
      <c r="B108" s="379" t="s">
        <v>915</v>
      </c>
      <c r="C108" s="26" t="s">
        <v>1023</v>
      </c>
      <c r="D108" s="379" t="s">
        <v>1024</v>
      </c>
    </row>
    <row r="109" spans="1:15" x14ac:dyDescent="0.25">
      <c r="B109" s="379"/>
      <c r="D109" s="379"/>
    </row>
    <row r="110" spans="1:15" x14ac:dyDescent="0.25">
      <c r="A110">
        <v>20</v>
      </c>
      <c r="B110" s="379">
        <f t="shared" ref="B110:B116" si="9">A110*_xlfn.SINGLE(inchtocentimetre)</f>
        <v>50.8</v>
      </c>
      <c r="C110">
        <v>2</v>
      </c>
      <c r="D110" s="379">
        <f>C110*J23</f>
        <v>77.040000000000006</v>
      </c>
    </row>
    <row r="111" spans="1:15" x14ac:dyDescent="0.25">
      <c r="A111">
        <v>24</v>
      </c>
      <c r="B111" s="379">
        <f t="shared" si="9"/>
        <v>60.96</v>
      </c>
      <c r="C111">
        <v>3.2</v>
      </c>
      <c r="D111" s="379">
        <f t="shared" ref="D111:D116" si="10">C111*K140</f>
        <v>0</v>
      </c>
    </row>
    <row r="112" spans="1:15" x14ac:dyDescent="0.25">
      <c r="A112">
        <v>28</v>
      </c>
      <c r="B112" s="379">
        <f t="shared" si="9"/>
        <v>71.12</v>
      </c>
      <c r="C112">
        <v>4.7</v>
      </c>
      <c r="D112" s="379">
        <f t="shared" si="10"/>
        <v>0</v>
      </c>
    </row>
    <row r="113" spans="1:4" x14ac:dyDescent="0.25">
      <c r="A113">
        <v>32</v>
      </c>
      <c r="B113" s="379">
        <f t="shared" si="9"/>
        <v>81.28</v>
      </c>
      <c r="C113">
        <v>6.6</v>
      </c>
      <c r="D113" s="379">
        <f t="shared" si="10"/>
        <v>0</v>
      </c>
    </row>
    <row r="114" spans="1:4" x14ac:dyDescent="0.25">
      <c r="A114">
        <v>36</v>
      </c>
      <c r="B114" s="379">
        <f t="shared" si="9"/>
        <v>91.44</v>
      </c>
      <c r="C114">
        <v>9</v>
      </c>
      <c r="D114" s="379">
        <f t="shared" si="10"/>
        <v>0</v>
      </c>
    </row>
    <row r="115" spans="1:4" x14ac:dyDescent="0.25">
      <c r="A115">
        <v>40</v>
      </c>
      <c r="B115" s="379">
        <f t="shared" si="9"/>
        <v>101.6</v>
      </c>
      <c r="C115">
        <v>11.7</v>
      </c>
      <c r="D115" s="379">
        <f t="shared" si="10"/>
        <v>0</v>
      </c>
    </row>
    <row r="116" spans="1:4" x14ac:dyDescent="0.25">
      <c r="A116">
        <v>44</v>
      </c>
      <c r="B116" s="379">
        <f t="shared" si="9"/>
        <v>111.76</v>
      </c>
      <c r="C116">
        <v>14.9</v>
      </c>
      <c r="D116" s="379">
        <f t="shared" si="10"/>
        <v>0</v>
      </c>
    </row>
    <row r="117" spans="1:4" x14ac:dyDescent="0.25">
      <c r="A117" t="s">
        <v>1025</v>
      </c>
      <c r="B117" s="380" t="s">
        <v>1026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Index</vt:lpstr>
      <vt:lpstr>ChangeLog</vt:lpstr>
      <vt:lpstr>NameConv</vt:lpstr>
      <vt:lpstr>EnergyBalance2017</vt:lpstr>
      <vt:lpstr>ITEMS_Tech</vt:lpstr>
      <vt:lpstr>ITEMS_Comm</vt:lpstr>
      <vt:lpstr>SUP</vt:lpstr>
      <vt:lpstr>LNG</vt:lpstr>
      <vt:lpstr>GasPipeLines</vt:lpstr>
      <vt:lpstr>CombustionEmissions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2023-07-28T07:51:46Z</dcterms:created>
  <dcterms:modified xsi:type="dcterms:W3CDTF">2023-08-15T11:52:01Z</dcterms:modified>
</cp:coreProperties>
</file>